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luminous/sites/RegA/RRA.Study/Shared Documents/03_RFI Responses/2024 Update/PUB-NLH-329/"/>
    </mc:Choice>
  </mc:AlternateContent>
  <bookViews>
    <workbookView xWindow="0" yWindow="0" windowWidth="10170" windowHeight="7320"/>
  </bookViews>
  <sheets>
    <sheet name="Scenario 1AEF" sheetId="7" r:id="rId1"/>
    <sheet name="Scenario 1A" sheetId="8" state="hidden" r:id="rId2"/>
    <sheet name="Scenario 1AEI" sheetId="13" r:id="rId3"/>
    <sheet name="Scenario 2" sheetId="9" state="hidden" r:id="rId4"/>
    <sheet name="Scenario 2A" sheetId="10" state="hidden" r:id="rId5"/>
    <sheet name="Scenario 4AEF" sheetId="11" r:id="rId6"/>
    <sheet name="Scenario 4AEF(ADV)" sheetId="12" r:id="rId7"/>
    <sheet name="Scenario 4AEI" sheetId="14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4" l="1"/>
  <c r="L6" i="14"/>
  <c r="L7" i="14" s="1"/>
  <c r="S8" i="9"/>
  <c r="AA6" i="9"/>
  <c r="P6" i="13"/>
  <c r="L7" i="13"/>
  <c r="AB6" i="13"/>
  <c r="AC7" i="7"/>
  <c r="AD7" i="7" s="1"/>
  <c r="U7" i="7"/>
  <c r="T6" i="14" l="1"/>
  <c r="AB6" i="14"/>
  <c r="AG7" i="14"/>
  <c r="AF7" i="14"/>
  <c r="AD7" i="14"/>
  <c r="AE7" i="14" s="1"/>
  <c r="Y7" i="14"/>
  <c r="V7" i="14"/>
  <c r="W7" i="14" s="1"/>
  <c r="Z7" i="14" s="1"/>
  <c r="Q7" i="14"/>
  <c r="P7" i="14"/>
  <c r="N7" i="14"/>
  <c r="O7" i="14" s="1"/>
  <c r="AG6" i="14"/>
  <c r="AF6" i="14"/>
  <c r="AD6" i="14"/>
  <c r="AE6" i="14" s="1"/>
  <c r="Y6" i="14"/>
  <c r="X6" i="14"/>
  <c r="V6" i="14"/>
  <c r="W6" i="14" s="1"/>
  <c r="Z6" i="14" s="1"/>
  <c r="Q6" i="14"/>
  <c r="P6" i="14"/>
  <c r="N6" i="14"/>
  <c r="O6" i="14" s="1"/>
  <c r="AB7" i="13"/>
  <c r="T7" i="13"/>
  <c r="AF6" i="9"/>
  <c r="AG6" i="13"/>
  <c r="AF6" i="13"/>
  <c r="AE6" i="13"/>
  <c r="AD7" i="13"/>
  <c r="AD6" i="13"/>
  <c r="AC6" i="7"/>
  <c r="X6" i="13"/>
  <c r="P7" i="13"/>
  <c r="X7" i="13"/>
  <c r="T6" i="13"/>
  <c r="L6" i="13"/>
  <c r="W8" i="8"/>
  <c r="Y6" i="13"/>
  <c r="V6" i="13"/>
  <c r="W6" i="13" s="1"/>
  <c r="R6" i="14" l="1"/>
  <c r="R7" i="14"/>
  <c r="Z6" i="13"/>
  <c r="AG7" i="13" l="1"/>
  <c r="AF7" i="13"/>
  <c r="AE7" i="13"/>
  <c r="Y7" i="13"/>
  <c r="V7" i="13"/>
  <c r="Q7" i="13"/>
  <c r="N7" i="13"/>
  <c r="O7" i="13" s="1"/>
  <c r="Q6" i="13"/>
  <c r="N6" i="13"/>
  <c r="O6" i="13" s="1"/>
  <c r="R6" i="13" s="1"/>
  <c r="W7" i="13" l="1"/>
  <c r="Z7" i="13" s="1"/>
  <c r="R7" i="13"/>
  <c r="W7" i="10"/>
  <c r="U7" i="10"/>
  <c r="U6" i="10"/>
  <c r="O8" i="9"/>
  <c r="N6" i="9"/>
  <c r="O6" i="9"/>
  <c r="W8" i="9"/>
  <c r="AD7" i="8"/>
  <c r="AC7" i="8"/>
  <c r="W7" i="8"/>
  <c r="Q6" i="8"/>
  <c r="O7" i="8"/>
  <c r="O6" i="8"/>
  <c r="N6" i="8"/>
  <c r="AD6" i="7"/>
  <c r="X6" i="7"/>
  <c r="P6" i="7"/>
  <c r="O6" i="7" l="1"/>
  <c r="X7" i="7"/>
  <c r="W7" i="7"/>
  <c r="W6" i="7"/>
  <c r="P7" i="7"/>
  <c r="O7" i="7"/>
  <c r="Y8" i="8"/>
  <c r="Y7" i="8"/>
  <c r="V8" i="8"/>
  <c r="V7" i="8"/>
  <c r="Q8" i="8"/>
  <c r="O8" i="8"/>
  <c r="P8" i="8"/>
  <c r="N8" i="8"/>
  <c r="P7" i="8"/>
  <c r="N7" i="8"/>
  <c r="Q7" i="8" s="1"/>
  <c r="P6" i="8"/>
  <c r="X8" i="9"/>
  <c r="X7" i="9"/>
  <c r="W7" i="9"/>
  <c r="V7" i="9"/>
  <c r="X6" i="9"/>
  <c r="W6" i="9"/>
  <c r="V6" i="9"/>
  <c r="O7" i="9"/>
  <c r="P8" i="9"/>
  <c r="N8" i="9"/>
  <c r="Q8" i="9" s="1"/>
  <c r="P7" i="9"/>
  <c r="N7" i="9"/>
  <c r="Q7" i="9" s="1"/>
  <c r="Q6" i="9"/>
  <c r="P6" i="9"/>
  <c r="X7" i="10"/>
  <c r="Z7" i="10" s="1"/>
  <c r="W6" i="11"/>
  <c r="Z6" i="10"/>
  <c r="N6" i="10"/>
  <c r="O6" i="10"/>
  <c r="Q6" i="10" s="1"/>
  <c r="O7" i="10"/>
  <c r="Q7" i="10" s="1"/>
  <c r="N8" i="10"/>
  <c r="P7" i="10"/>
  <c r="N7" i="10"/>
  <c r="P6" i="10"/>
  <c r="X7" i="11"/>
  <c r="W7" i="11"/>
  <c r="X6" i="11"/>
  <c r="N7" i="11"/>
  <c r="Q7" i="11" s="1"/>
  <c r="N6" i="12"/>
  <c r="Q6" i="12" s="1"/>
  <c r="O7" i="11"/>
  <c r="O6" i="11"/>
  <c r="W6" i="12"/>
  <c r="O6" i="12"/>
  <c r="AE6" i="12"/>
  <c r="AC6" i="12"/>
  <c r="AD6" i="12"/>
  <c r="X6" i="12"/>
  <c r="U6" i="12"/>
  <c r="V6" i="12" s="1"/>
  <c r="Y6" i="12" s="1"/>
  <c r="P6" i="12"/>
  <c r="M6" i="12"/>
  <c r="AF6" i="11"/>
  <c r="AD7" i="11"/>
  <c r="AC7" i="11"/>
  <c r="AC6" i="11"/>
  <c r="AD6" i="11" s="1"/>
  <c r="AE7" i="11"/>
  <c r="AE6" i="11"/>
  <c r="U7" i="11"/>
  <c r="V7" i="11" s="1"/>
  <c r="U6" i="11"/>
  <c r="V6" i="11" s="1"/>
  <c r="Y6" i="11" s="1"/>
  <c r="P6" i="11"/>
  <c r="M7" i="11"/>
  <c r="M6" i="11"/>
  <c r="N6" i="11" s="1"/>
  <c r="Q6" i="11" s="1"/>
  <c r="P7" i="11"/>
  <c r="M7" i="10"/>
  <c r="M6" i="10"/>
  <c r="Y7" i="10"/>
  <c r="Z8" i="10"/>
  <c r="Y8" i="10"/>
  <c r="V8" i="10"/>
  <c r="U8" i="10"/>
  <c r="Y6" i="10"/>
  <c r="V6" i="10"/>
  <c r="AG7" i="10"/>
  <c r="AG6" i="10"/>
  <c r="AF7" i="10"/>
  <c r="AF6" i="10"/>
  <c r="AE7" i="10"/>
  <c r="AE6" i="10"/>
  <c r="AD7" i="10"/>
  <c r="AD6" i="10"/>
  <c r="M8" i="9"/>
  <c r="M7" i="9"/>
  <c r="M6" i="9"/>
  <c r="U7" i="9"/>
  <c r="U8" i="9"/>
  <c r="V8" i="9" s="1"/>
  <c r="Y8" i="9" s="1"/>
  <c r="U6" i="9"/>
  <c r="AD6" i="9"/>
  <c r="AF7" i="9"/>
  <c r="AE6" i="9"/>
  <c r="AE7" i="9"/>
  <c r="AD7" i="9"/>
  <c r="AC7" i="9"/>
  <c r="AC6" i="9"/>
  <c r="AF7" i="8"/>
  <c r="AE7" i="8"/>
  <c r="X6" i="8"/>
  <c r="X8" i="8"/>
  <c r="U8" i="8"/>
  <c r="X7" i="8"/>
  <c r="U7" i="8"/>
  <c r="M6" i="8"/>
  <c r="M8" i="8"/>
  <c r="M7" i="8"/>
  <c r="AE7" i="7"/>
  <c r="AE6" i="7"/>
  <c r="AF6" i="7"/>
  <c r="V7" i="7"/>
  <c r="U6" i="7"/>
  <c r="V6" i="7" s="1"/>
  <c r="Y6" i="7" s="1"/>
  <c r="M7" i="7"/>
  <c r="N7" i="7" s="1"/>
  <c r="M6" i="7"/>
  <c r="N6" i="7" s="1"/>
  <c r="Y7" i="11" l="1"/>
  <c r="Q6" i="7"/>
  <c r="Y7" i="7"/>
  <c r="Q7" i="7"/>
  <c r="Y7" i="9"/>
  <c r="Y6" i="9"/>
  <c r="K6" i="12"/>
  <c r="S6" i="12"/>
  <c r="AA6" i="12"/>
  <c r="K7" i="11" l="1"/>
  <c r="K7" i="12" s="1"/>
  <c r="S7" i="11"/>
  <c r="S7" i="12" s="1"/>
  <c r="AA7" i="11"/>
  <c r="AA7" i="12" s="1"/>
  <c r="K6" i="11"/>
  <c r="S6" i="11"/>
  <c r="AA6" i="11"/>
  <c r="AB7" i="12"/>
  <c r="Z7" i="12"/>
  <c r="T7" i="12"/>
  <c r="R7" i="12"/>
  <c r="L7" i="12"/>
  <c r="J7" i="12"/>
  <c r="I7" i="12"/>
  <c r="H7" i="12"/>
  <c r="AF6" i="12"/>
  <c r="AF7" i="11"/>
  <c r="K8" i="9"/>
  <c r="K7" i="10"/>
  <c r="S7" i="10"/>
  <c r="AB7" i="10"/>
  <c r="K6" i="10"/>
  <c r="AB6" i="10"/>
  <c r="O7" i="12" l="1"/>
  <c r="W7" i="12"/>
  <c r="Y7" i="12" s="1"/>
  <c r="AE7" i="12"/>
  <c r="P7" i="12"/>
  <c r="AF7" i="12"/>
  <c r="U7" i="12"/>
  <c r="AC7" i="12"/>
  <c r="AD7" i="12" s="1"/>
  <c r="X7" i="12"/>
  <c r="M7" i="12"/>
  <c r="N7" i="12" s="1"/>
  <c r="Q7" i="12" s="1"/>
  <c r="K7" i="9" l="1"/>
  <c r="K6" i="9"/>
  <c r="S6" i="9"/>
  <c r="F8" i="9"/>
  <c r="F7" i="9"/>
  <c r="F6" i="9"/>
  <c r="K6" i="8"/>
  <c r="K7" i="8"/>
  <c r="K8" i="8"/>
  <c r="S8" i="8"/>
  <c r="AA7" i="8"/>
  <c r="K7" i="7" l="1"/>
  <c r="S7" i="7"/>
  <c r="K6" i="7" l="1"/>
  <c r="S6" i="7" l="1"/>
  <c r="AA6" i="7"/>
  <c r="F6" i="7" l="1"/>
  <c r="AF7" i="7" l="1"/>
</calcChain>
</file>

<file path=xl/sharedStrings.xml><?xml version="1.0" encoding="utf-8"?>
<sst xmlns="http://schemas.openxmlformats.org/spreadsheetml/2006/main" count="387" uniqueCount="45">
  <si>
    <t>Year</t>
  </si>
  <si>
    <t>On-Avalon</t>
  </si>
  <si>
    <t>Off-Avalon</t>
  </si>
  <si>
    <t>New Generation (MW)</t>
  </si>
  <si>
    <t>BDE Flow (East) (MW)</t>
  </si>
  <si>
    <t>Island Load (MW)*</t>
  </si>
  <si>
    <t>Peak Conditions 
(LIL Outage)  (MW)</t>
  </si>
  <si>
    <t>Island Load*</t>
  </si>
  <si>
    <t>Gross Avalon Load</t>
  </si>
  <si>
    <r>
      <t xml:space="preserve">Island Generation Maxed Out
(Option 4 + Cap Bank (SSD) + STATCOM - </t>
    </r>
    <r>
      <rPr>
        <b/>
        <sz val="11"/>
        <color rgb="FFFF0000"/>
        <rFont val="Calibri"/>
        <family val="2"/>
        <scheme val="minor"/>
      </rPr>
      <t>$350M-$400M</t>
    </r>
    <r>
      <rPr>
        <b/>
        <sz val="11"/>
        <color theme="1"/>
        <rFont val="Calibri"/>
        <family val="2"/>
        <scheme val="minor"/>
      </rPr>
      <t>)</t>
    </r>
  </si>
  <si>
    <t>Assumptions:</t>
  </si>
  <si>
    <t>-Proporational spread of load growth</t>
  </si>
  <si>
    <t>-HRD CT online at 123.5 MW</t>
  </si>
  <si>
    <t>-39 MW of NL Avalon Generation</t>
  </si>
  <si>
    <t>-SVL and existing wind retired</t>
  </si>
  <si>
    <t>-HRD Thermal retired (HRD U3 as SC)</t>
  </si>
  <si>
    <t>-2 SOPSCs online</t>
  </si>
  <si>
    <t>-LIL Bipole Outage.  ML as STATCOM (0 MW Output)</t>
  </si>
  <si>
    <t>-No new generation provided much reactive power support (capability curves N/A)</t>
  </si>
  <si>
    <t>-All new Avalon Generation connected electrically downstream of TL201/TL217</t>
  </si>
  <si>
    <t>Gross Avalon Load (MW)</t>
  </si>
  <si>
    <t>*Includes Transmission Losses and Station Service Loads. After Curtailment</t>
  </si>
  <si>
    <t>1st Thermal Violation 
(No Upgrade)</t>
  </si>
  <si>
    <t>CT</t>
  </si>
  <si>
    <t>Wind</t>
  </si>
  <si>
    <t>Hydro</t>
  </si>
  <si>
    <t>Proxy Capacity Resource</t>
  </si>
  <si>
    <t>Generation Does Not Max Out</t>
  </si>
  <si>
    <t>No Violation</t>
  </si>
  <si>
    <t>Generation Maxed Out</t>
  </si>
  <si>
    <t>Voltage issues appear on NP system within SSD/STB loop</t>
  </si>
  <si>
    <t>Year 2038</t>
  </si>
  <si>
    <t>*Likely a common issue at that growth level.</t>
  </si>
  <si>
    <t>Voltage Violation
(Option 4 Applied)</t>
  </si>
  <si>
    <t>Avalon Load Shed (MW)</t>
  </si>
  <si>
    <t>Percent of Peak Island Demand Served</t>
  </si>
  <si>
    <t>Percent of Peak Gross Avalon Demand Served</t>
  </si>
  <si>
    <t>Off Avalon Load Shed (MW)</t>
  </si>
  <si>
    <t>Thermal</t>
  </si>
  <si>
    <t>-Given reactive power support is required without even considering 230kV contingnencies</t>
  </si>
  <si>
    <t>likely require GE support, because it would a trigger on LIL bipole trip.</t>
  </si>
  <si>
    <t>we assume it would be the same as Cap Bank (SSD) + STATCOM ($200M-$250M)</t>
  </si>
  <si>
    <t xml:space="preserve">Further analysis would be required to optimize.  Any SPS could potentially help, but it would </t>
  </si>
  <si>
    <t>No improvement with Reactive Power Support added in 2034, because you max out of generation the same time.  Therefore reactive power support can't be justified unless additional generation added</t>
  </si>
  <si>
    <t>Supplied from PSSE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</si>
</sst>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0" xfId="4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quotePrefix="1"/>
    <xf numFmtId="0" fontId="4" fillId="0" borderId="0" xfId="0" applyFont="1"/>
    <xf numFmtId="164" fontId="0" fillId="0" borderId="8" xfId="4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8" xfId="4" applyNumberFormat="1" applyFont="1" applyBorder="1" applyAlignment="1">
      <alignment horizontal="center"/>
    </xf>
    <xf numFmtId="164" fontId="0" fillId="0" borderId="17" xfId="4" applyNumberFormat="1" applyFont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23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0" xfId="0" applyFill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/>
    <xf numFmtId="1" fontId="6" fillId="0" borderId="16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7" fillId="0" borderId="0" xfId="0" applyFont="1"/>
    <xf numFmtId="1" fontId="0" fillId="0" borderId="7" xfId="0" applyNumberFormat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64" fontId="0" fillId="0" borderId="5" xfId="4" applyNumberFormat="1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164" fontId="0" fillId="0" borderId="12" xfId="4" applyNumberFormat="1" applyFont="1" applyBorder="1" applyAlignment="1">
      <alignment horizontal="center"/>
    </xf>
    <xf numFmtId="164" fontId="0" fillId="0" borderId="22" xfId="4" applyNumberFormat="1" applyFont="1" applyBorder="1" applyAlignment="1">
      <alignment horizontal="center"/>
    </xf>
    <xf numFmtId="164" fontId="0" fillId="0" borderId="40" xfId="4" applyNumberFormat="1" applyFont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0" xfId="0" applyNumberFormat="1"/>
    <xf numFmtId="0" fontId="8" fillId="0" borderId="4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164" fontId="0" fillId="0" borderId="4" xfId="4" applyNumberFormat="1" applyFont="1" applyBorder="1" applyAlignment="1">
      <alignment horizontal="center"/>
    </xf>
    <xf numFmtId="164" fontId="0" fillId="0" borderId="7" xfId="4" applyNumberFormat="1" applyFont="1" applyBorder="1" applyAlignment="1">
      <alignment horizontal="center"/>
    </xf>
    <xf numFmtId="164" fontId="0" fillId="0" borderId="8" xfId="4" applyNumberFormat="1" applyFont="1" applyFill="1" applyBorder="1" applyAlignment="1">
      <alignment horizontal="center"/>
    </xf>
    <xf numFmtId="164" fontId="0" fillId="0" borderId="10" xfId="4" applyNumberFormat="1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64" fontId="0" fillId="0" borderId="12" xfId="4" applyNumberFormat="1" applyFont="1" applyFill="1" applyBorder="1" applyAlignment="1">
      <alignment horizontal="center"/>
    </xf>
    <xf numFmtId="164" fontId="0" fillId="0" borderId="5" xfId="4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40" xfId="0" applyNumberFormat="1" applyFill="1" applyBorder="1" applyAlignment="1">
      <alignment horizontal="center"/>
    </xf>
    <xf numFmtId="164" fontId="0" fillId="0" borderId="18" xfId="4" applyNumberFormat="1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4" fontId="0" fillId="0" borderId="40" xfId="4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0" fillId="0" borderId="22" xfId="0" applyNumberFormat="1" applyFill="1" applyBorder="1" applyAlignment="1">
      <alignment horizontal="center"/>
    </xf>
    <xf numFmtId="164" fontId="0" fillId="0" borderId="22" xfId="4" applyNumberFormat="1" applyFont="1" applyFill="1" applyBorder="1" applyAlignment="1">
      <alignment horizontal="center"/>
    </xf>
    <xf numFmtId="164" fontId="0" fillId="0" borderId="17" xfId="4" applyNumberFormat="1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/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0" fillId="0" borderId="3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/>
    </xf>
    <xf numFmtId="0" fontId="8" fillId="0" borderId="0" xfId="0" applyFont="1" applyFill="1" applyAlignment="1">
      <alignment vertical="center"/>
    </xf>
    <xf numFmtId="1" fontId="0" fillId="2" borderId="25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5" xfId="0" applyBorder="1" applyAlignment="1">
      <alignment horizontal="center"/>
    </xf>
    <xf numFmtId="164" fontId="0" fillId="0" borderId="45" xfId="4" applyNumberFormat="1" applyFont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25" xfId="0" applyFill="1" applyBorder="1" applyAlignment="1">
      <alignment horizontal="center"/>
    </xf>
  </cellXfs>
  <cellStyles count="5">
    <cellStyle name="Normal" xfId="0" builtinId="0"/>
    <cellStyle name="Normal 10 3" xfId="1"/>
    <cellStyle name="Normal 58 2" xfId="2"/>
    <cellStyle name="Percent" xfId="4" builtinId="5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20"/>
  <sheetViews>
    <sheetView tabSelected="1" zoomScaleNormal="100" workbookViewId="0">
      <selection activeCell="J26" sqref="J26"/>
    </sheetView>
  </sheetViews>
  <sheetFormatPr defaultRowHeight="15" x14ac:dyDescent="0.25"/>
  <cols>
    <col min="1" max="1" width="3.140625" customWidth="1"/>
    <col min="2" max="2" width="8.5703125" customWidth="1"/>
    <col min="3" max="3" width="12" customWidth="1"/>
    <col min="4" max="4" width="13.85546875" customWidth="1"/>
    <col min="5" max="7" width="12" customWidth="1"/>
    <col min="8" max="13" width="13.28515625" customWidth="1"/>
    <col min="14" max="15" width="13.28515625" hidden="1" customWidth="1"/>
    <col min="16" max="16" width="16.42578125" customWidth="1"/>
    <col min="17" max="20" width="13.28515625" customWidth="1"/>
    <col min="21" max="21" width="16.28515625" customWidth="1"/>
    <col min="22" max="23" width="16.28515625" hidden="1" customWidth="1"/>
    <col min="24" max="24" width="17" customWidth="1"/>
    <col min="25" max="30" width="13.28515625" customWidth="1"/>
    <col min="31" max="31" width="17" customWidth="1"/>
    <col min="32" max="32" width="13.28515625" customWidth="1"/>
  </cols>
  <sheetData>
    <row r="2" spans="2:32" ht="15.75" thickBot="1" x14ac:dyDescent="0.3"/>
    <row r="3" spans="2:32" ht="36" customHeight="1" thickBot="1" x14ac:dyDescent="0.3">
      <c r="B3" s="119" t="s">
        <v>0</v>
      </c>
      <c r="C3" s="122" t="s">
        <v>3</v>
      </c>
      <c r="D3" s="123"/>
      <c r="E3" s="124"/>
      <c r="F3" s="124"/>
      <c r="G3" s="125"/>
      <c r="H3" s="126" t="s">
        <v>6</v>
      </c>
      <c r="I3" s="114"/>
      <c r="J3" s="127" t="s">
        <v>22</v>
      </c>
      <c r="K3" s="128"/>
      <c r="L3" s="128"/>
      <c r="M3" s="128"/>
      <c r="N3" s="128"/>
      <c r="O3" s="128"/>
      <c r="P3" s="128"/>
      <c r="Q3" s="129"/>
      <c r="R3" s="127" t="s">
        <v>33</v>
      </c>
      <c r="S3" s="128"/>
      <c r="T3" s="128"/>
      <c r="U3" s="128"/>
      <c r="V3" s="128"/>
      <c r="W3" s="128"/>
      <c r="X3" s="128"/>
      <c r="Y3" s="129"/>
      <c r="Z3" s="111" t="s">
        <v>9</v>
      </c>
      <c r="AA3" s="112"/>
      <c r="AB3" s="112"/>
      <c r="AC3" s="113"/>
      <c r="AD3" s="113"/>
      <c r="AE3" s="113"/>
      <c r="AF3" s="114"/>
    </row>
    <row r="4" spans="2:32" ht="36" customHeight="1" x14ac:dyDescent="0.25">
      <c r="B4" s="120"/>
      <c r="C4" s="134" t="s">
        <v>1</v>
      </c>
      <c r="D4" s="135"/>
      <c r="E4" s="136"/>
      <c r="F4" s="137" t="s">
        <v>2</v>
      </c>
      <c r="G4" s="138"/>
      <c r="H4" s="115" t="s">
        <v>7</v>
      </c>
      <c r="I4" s="117" t="s">
        <v>8</v>
      </c>
      <c r="J4" s="139" t="s">
        <v>5</v>
      </c>
      <c r="K4" s="141" t="s">
        <v>4</v>
      </c>
      <c r="L4" s="141" t="s">
        <v>20</v>
      </c>
      <c r="M4" s="130" t="s">
        <v>34</v>
      </c>
      <c r="N4" s="52"/>
      <c r="O4" s="52"/>
      <c r="P4" s="132" t="s">
        <v>36</v>
      </c>
      <c r="Q4" s="132" t="s">
        <v>35</v>
      </c>
      <c r="R4" s="139" t="s">
        <v>5</v>
      </c>
      <c r="S4" s="141" t="s">
        <v>4</v>
      </c>
      <c r="T4" s="141" t="s">
        <v>20</v>
      </c>
      <c r="U4" s="130" t="s">
        <v>34</v>
      </c>
      <c r="V4" s="52"/>
      <c r="W4" s="52"/>
      <c r="X4" s="132" t="s">
        <v>36</v>
      </c>
      <c r="Y4" s="132" t="s">
        <v>35</v>
      </c>
      <c r="Z4" s="139" t="s">
        <v>5</v>
      </c>
      <c r="AA4" s="141" t="s">
        <v>4</v>
      </c>
      <c r="AB4" s="141" t="s">
        <v>20</v>
      </c>
      <c r="AC4" s="130" t="s">
        <v>34</v>
      </c>
      <c r="AD4" s="145" t="s">
        <v>37</v>
      </c>
      <c r="AE4" s="132" t="s">
        <v>36</v>
      </c>
      <c r="AF4" s="143" t="s">
        <v>35</v>
      </c>
    </row>
    <row r="5" spans="2:32" ht="32.25" customHeight="1" thickBot="1" x14ac:dyDescent="0.3">
      <c r="B5" s="121"/>
      <c r="C5" s="8" t="s">
        <v>23</v>
      </c>
      <c r="D5" s="35" t="s">
        <v>26</v>
      </c>
      <c r="E5" s="6" t="s">
        <v>24</v>
      </c>
      <c r="F5" s="6" t="s">
        <v>25</v>
      </c>
      <c r="G5" s="7" t="s">
        <v>24</v>
      </c>
      <c r="H5" s="116"/>
      <c r="I5" s="118"/>
      <c r="J5" s="140"/>
      <c r="K5" s="142"/>
      <c r="L5" s="142"/>
      <c r="M5" s="131"/>
      <c r="N5" s="45"/>
      <c r="O5" s="45"/>
      <c r="P5" s="133"/>
      <c r="Q5" s="133"/>
      <c r="R5" s="140"/>
      <c r="S5" s="142"/>
      <c r="T5" s="142"/>
      <c r="U5" s="131"/>
      <c r="V5" s="45"/>
      <c r="W5" s="45"/>
      <c r="X5" s="133"/>
      <c r="Y5" s="133"/>
      <c r="Z5" s="140"/>
      <c r="AA5" s="142"/>
      <c r="AB5" s="142"/>
      <c r="AC5" s="131"/>
      <c r="AD5" s="146"/>
      <c r="AE5" s="133"/>
      <c r="AF5" s="144"/>
    </row>
    <row r="6" spans="2:32" x14ac:dyDescent="0.25">
      <c r="B6" s="105">
        <v>2031</v>
      </c>
      <c r="C6" s="10">
        <v>141.6</v>
      </c>
      <c r="D6" s="106">
        <v>0</v>
      </c>
      <c r="E6" s="11">
        <v>22</v>
      </c>
      <c r="F6" s="11">
        <f>154.4+68.2</f>
        <v>222.60000000000002</v>
      </c>
      <c r="G6" s="23">
        <v>66</v>
      </c>
      <c r="H6" s="168">
        <v>1967</v>
      </c>
      <c r="I6" s="169">
        <v>1014</v>
      </c>
      <c r="J6" s="98">
        <v>1666</v>
      </c>
      <c r="K6" s="99">
        <f>232*2+216</f>
        <v>680</v>
      </c>
      <c r="L6" s="99">
        <v>857</v>
      </c>
      <c r="M6" s="49">
        <f>I6-L6</f>
        <v>157</v>
      </c>
      <c r="N6" s="49">
        <f>H6-J6-M6</f>
        <v>144</v>
      </c>
      <c r="O6" s="49">
        <f>Z6-J6</f>
        <v>239</v>
      </c>
      <c r="P6" s="53">
        <f>L6/I6</f>
        <v>0.84516765285996054</v>
      </c>
      <c r="Q6" s="50">
        <f>IF(N6&lt;O6,(J6+N6)/H6,(J6+O6)/H6)</f>
        <v>0.9201830198271479</v>
      </c>
      <c r="R6" s="98">
        <v>1807</v>
      </c>
      <c r="S6" s="99">
        <f>265*2+249</f>
        <v>779</v>
      </c>
      <c r="T6" s="99">
        <v>932</v>
      </c>
      <c r="U6" s="49">
        <f>I6-T6</f>
        <v>82</v>
      </c>
      <c r="V6" s="49">
        <f>H6-R6-U6</f>
        <v>78</v>
      </c>
      <c r="W6" s="49">
        <f>Z6-R6</f>
        <v>98</v>
      </c>
      <c r="X6" s="53">
        <f>T6/I6</f>
        <v>0.9191321499013807</v>
      </c>
      <c r="Y6" s="50">
        <f>IF(V6&lt;W6,(R6+V6)/H6,(R6+W6)/H6)</f>
        <v>0.95831215048296903</v>
      </c>
      <c r="Z6" s="98">
        <v>1905</v>
      </c>
      <c r="AA6" s="99">
        <f>289*2+272</f>
        <v>850</v>
      </c>
      <c r="AB6" s="99">
        <v>982</v>
      </c>
      <c r="AC6" s="49">
        <f>I6-AB6</f>
        <v>32</v>
      </c>
      <c r="AD6" s="49">
        <f>H6-Z6-AC6</f>
        <v>30</v>
      </c>
      <c r="AE6" s="53">
        <f>AB6/I6</f>
        <v>0.9684418145956607</v>
      </c>
      <c r="AF6" s="50">
        <f>Z6/H6</f>
        <v>0.96847991865785465</v>
      </c>
    </row>
    <row r="7" spans="2:32" ht="15.75" thickBot="1" x14ac:dyDescent="0.3">
      <c r="B7" s="107">
        <v>2034</v>
      </c>
      <c r="C7" s="2">
        <v>141.6</v>
      </c>
      <c r="D7" s="170">
        <v>50</v>
      </c>
      <c r="E7" s="171">
        <v>27.5</v>
      </c>
      <c r="F7" s="171">
        <v>222.60000000000002</v>
      </c>
      <c r="G7" s="172">
        <v>82.5</v>
      </c>
      <c r="H7" s="100">
        <v>2051</v>
      </c>
      <c r="I7" s="101">
        <v>1062</v>
      </c>
      <c r="J7" s="102">
        <v>1762</v>
      </c>
      <c r="K7" s="103">
        <f>236*2+219</f>
        <v>691</v>
      </c>
      <c r="L7" s="103">
        <v>912</v>
      </c>
      <c r="M7" s="51">
        <f t="shared" ref="M7" si="0">I7-L7</f>
        <v>150</v>
      </c>
      <c r="N7" s="51">
        <f t="shared" ref="N7" si="1">H7-J7-M7</f>
        <v>139</v>
      </c>
      <c r="O7" s="51">
        <f t="shared" ref="O7" si="2">Z7-J7</f>
        <v>216</v>
      </c>
      <c r="P7" s="54">
        <f t="shared" ref="P7" si="3">L7/I7</f>
        <v>0.85875706214689262</v>
      </c>
      <c r="Q7" s="173">
        <f t="shared" ref="Q7" si="4">IF(N7&lt;O7,(J7+N7)/H7,(J7+O7)/H7)</f>
        <v>0.92686494392979035</v>
      </c>
      <c r="R7" s="102">
        <v>1880</v>
      </c>
      <c r="S7" s="103">
        <f>264*2+246</f>
        <v>774</v>
      </c>
      <c r="T7" s="103">
        <v>974</v>
      </c>
      <c r="U7" s="51">
        <f>I7-T7</f>
        <v>88</v>
      </c>
      <c r="V7" s="51">
        <f>H7-R7-U7</f>
        <v>83</v>
      </c>
      <c r="W7" s="51">
        <f t="shared" ref="W7" si="5">Z7-R7</f>
        <v>98</v>
      </c>
      <c r="X7" s="54">
        <f t="shared" ref="X7" si="6">T7/I7</f>
        <v>0.91713747645951038</v>
      </c>
      <c r="Y7" s="173">
        <f t="shared" ref="Y7" si="7">IF(V7&lt;W7,(R7+V7)/H7,(R7+W7)/H7)</f>
        <v>0.95709410043881038</v>
      </c>
      <c r="Z7" s="102">
        <v>1978</v>
      </c>
      <c r="AA7" s="103">
        <v>841</v>
      </c>
      <c r="AB7" s="103">
        <v>1025</v>
      </c>
      <c r="AC7" s="51">
        <f>I7-AB7</f>
        <v>37</v>
      </c>
      <c r="AD7" s="51">
        <f>H7-Z7-AC7</f>
        <v>36</v>
      </c>
      <c r="AE7" s="54">
        <f t="shared" ref="AE7" si="8">AB7/I7</f>
        <v>0.96516007532956682</v>
      </c>
      <c r="AF7" s="173">
        <f>Z7/H7</f>
        <v>0.96440760604583131</v>
      </c>
    </row>
    <row r="9" spans="2:32" x14ac:dyDescent="0.25">
      <c r="B9" t="s">
        <v>21</v>
      </c>
    </row>
    <row r="10" spans="2:32" x14ac:dyDescent="0.25">
      <c r="H10" s="104" t="s">
        <v>44</v>
      </c>
      <c r="I10" s="104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2:32" ht="15" customHeight="1" x14ac:dyDescent="0.25">
      <c r="B11" s="13" t="s">
        <v>10</v>
      </c>
      <c r="C11" s="1"/>
      <c r="D11" s="1"/>
      <c r="E11" s="1"/>
      <c r="F11" s="1"/>
      <c r="G11" s="1"/>
      <c r="H11" s="1"/>
      <c r="I11" s="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1"/>
      <c r="AB11" s="1"/>
      <c r="AC11" s="1"/>
      <c r="AD11" s="1"/>
      <c r="AE11" s="1"/>
      <c r="AF11" s="1"/>
    </row>
    <row r="12" spans="2:32" x14ac:dyDescent="0.25">
      <c r="B12" s="12" t="s">
        <v>19</v>
      </c>
      <c r="C12" s="1"/>
      <c r="D12" s="1"/>
      <c r="E12" s="1"/>
      <c r="F12" s="1"/>
      <c r="G12" s="1"/>
      <c r="H12" s="1"/>
      <c r="I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x14ac:dyDescent="0.25">
      <c r="B13" s="12" t="s">
        <v>11</v>
      </c>
    </row>
    <row r="14" spans="2:32" x14ac:dyDescent="0.25">
      <c r="B14" s="12" t="s">
        <v>12</v>
      </c>
    </row>
    <row r="15" spans="2:32" x14ac:dyDescent="0.25">
      <c r="B15" s="12" t="s">
        <v>13</v>
      </c>
    </row>
    <row r="16" spans="2:32" x14ac:dyDescent="0.25">
      <c r="B16" s="12" t="s">
        <v>14</v>
      </c>
    </row>
    <row r="17" spans="2:2" x14ac:dyDescent="0.25">
      <c r="B17" s="12" t="s">
        <v>15</v>
      </c>
    </row>
    <row r="18" spans="2:2" x14ac:dyDescent="0.25">
      <c r="B18" s="12" t="s">
        <v>18</v>
      </c>
    </row>
    <row r="19" spans="2:2" x14ac:dyDescent="0.25">
      <c r="B19" s="12" t="s">
        <v>16</v>
      </c>
    </row>
    <row r="20" spans="2:2" x14ac:dyDescent="0.25">
      <c r="B20" s="12" t="s">
        <v>17</v>
      </c>
    </row>
  </sheetData>
  <mergeCells count="29">
    <mergeCell ref="T4:T5"/>
    <mergeCell ref="AB4:AB5"/>
    <mergeCell ref="AF4:AF5"/>
    <mergeCell ref="AC4:AC5"/>
    <mergeCell ref="AE4:AE5"/>
    <mergeCell ref="AD4:AD5"/>
    <mergeCell ref="Z4:Z5"/>
    <mergeCell ref="AA4:AA5"/>
    <mergeCell ref="K4:K5"/>
    <mergeCell ref="L4:L5"/>
    <mergeCell ref="Q4:Q5"/>
    <mergeCell ref="R4:R5"/>
    <mergeCell ref="S4:S5"/>
    <mergeCell ref="Z3:AF3"/>
    <mergeCell ref="H4:H5"/>
    <mergeCell ref="I4:I5"/>
    <mergeCell ref="B3:B5"/>
    <mergeCell ref="C3:G3"/>
    <mergeCell ref="H3:I3"/>
    <mergeCell ref="J3:Q3"/>
    <mergeCell ref="R3:Y3"/>
    <mergeCell ref="M4:M5"/>
    <mergeCell ref="P4:P5"/>
    <mergeCell ref="U4:U5"/>
    <mergeCell ref="X4:X5"/>
    <mergeCell ref="Y4:Y5"/>
    <mergeCell ref="C4:E4"/>
    <mergeCell ref="F4:G4"/>
    <mergeCell ref="J4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21"/>
  <sheetViews>
    <sheetView topLeftCell="Q1" zoomScaleNormal="100" workbookViewId="0">
      <selection activeCell="F35" sqref="F35"/>
    </sheetView>
  </sheetViews>
  <sheetFormatPr defaultRowHeight="15" x14ac:dyDescent="0.25"/>
  <cols>
    <col min="1" max="1" width="3.140625" customWidth="1"/>
    <col min="2" max="2" width="8.5703125" customWidth="1"/>
    <col min="3" max="3" width="12" customWidth="1"/>
    <col min="4" max="4" width="13.85546875" customWidth="1"/>
    <col min="5" max="7" width="12" customWidth="1"/>
    <col min="8" max="13" width="13.28515625" customWidth="1"/>
    <col min="14" max="15" width="13.28515625" hidden="1" customWidth="1"/>
    <col min="16" max="16" width="16.42578125" customWidth="1"/>
    <col min="17" max="20" width="13.28515625" customWidth="1"/>
    <col min="21" max="21" width="16.28515625" customWidth="1"/>
    <col min="22" max="23" width="16.28515625" hidden="1" customWidth="1"/>
    <col min="24" max="24" width="17" customWidth="1"/>
    <col min="25" max="30" width="13.28515625" customWidth="1"/>
    <col min="31" max="31" width="17" customWidth="1"/>
    <col min="32" max="32" width="13.28515625" customWidth="1"/>
  </cols>
  <sheetData>
    <row r="2" spans="2:32" ht="15.75" thickBot="1" x14ac:dyDescent="0.3"/>
    <row r="3" spans="2:32" ht="36" customHeight="1" thickBot="1" x14ac:dyDescent="0.3">
      <c r="B3" s="119" t="s">
        <v>0</v>
      </c>
      <c r="C3" s="122" t="s">
        <v>3</v>
      </c>
      <c r="D3" s="123"/>
      <c r="E3" s="124"/>
      <c r="F3" s="124"/>
      <c r="G3" s="125"/>
      <c r="H3" s="126" t="s">
        <v>6</v>
      </c>
      <c r="I3" s="114"/>
      <c r="J3" s="127" t="s">
        <v>22</v>
      </c>
      <c r="K3" s="128"/>
      <c r="L3" s="128"/>
      <c r="M3" s="128"/>
      <c r="N3" s="128"/>
      <c r="O3" s="128"/>
      <c r="P3" s="128"/>
      <c r="Q3" s="129"/>
      <c r="R3" s="127" t="s">
        <v>33</v>
      </c>
      <c r="S3" s="128"/>
      <c r="T3" s="128"/>
      <c r="U3" s="128"/>
      <c r="V3" s="128"/>
      <c r="W3" s="128"/>
      <c r="X3" s="128"/>
      <c r="Y3" s="129"/>
      <c r="Z3" s="111" t="s">
        <v>9</v>
      </c>
      <c r="AA3" s="112"/>
      <c r="AB3" s="112"/>
      <c r="AC3" s="113"/>
      <c r="AD3" s="113"/>
      <c r="AE3" s="113"/>
      <c r="AF3" s="114"/>
    </row>
    <row r="4" spans="2:32" ht="36" customHeight="1" x14ac:dyDescent="0.25">
      <c r="B4" s="120"/>
      <c r="C4" s="134" t="s">
        <v>1</v>
      </c>
      <c r="D4" s="135"/>
      <c r="E4" s="136"/>
      <c r="F4" s="137" t="s">
        <v>2</v>
      </c>
      <c r="G4" s="138"/>
      <c r="H4" s="115" t="s">
        <v>7</v>
      </c>
      <c r="I4" s="117" t="s">
        <v>8</v>
      </c>
      <c r="J4" s="139" t="s">
        <v>5</v>
      </c>
      <c r="K4" s="141" t="s">
        <v>4</v>
      </c>
      <c r="L4" s="141" t="s">
        <v>20</v>
      </c>
      <c r="M4" s="130" t="s">
        <v>34</v>
      </c>
      <c r="N4" s="52"/>
      <c r="O4" s="52"/>
      <c r="P4" s="132" t="s">
        <v>36</v>
      </c>
      <c r="Q4" s="132" t="s">
        <v>35</v>
      </c>
      <c r="R4" s="139" t="s">
        <v>5</v>
      </c>
      <c r="S4" s="141" t="s">
        <v>4</v>
      </c>
      <c r="T4" s="141" t="s">
        <v>20</v>
      </c>
      <c r="U4" s="130" t="s">
        <v>34</v>
      </c>
      <c r="V4" s="52"/>
      <c r="W4" s="52"/>
      <c r="X4" s="132" t="s">
        <v>36</v>
      </c>
      <c r="Y4" s="132" t="s">
        <v>35</v>
      </c>
      <c r="Z4" s="139" t="s">
        <v>5</v>
      </c>
      <c r="AA4" s="141" t="s">
        <v>4</v>
      </c>
      <c r="AB4" s="141" t="s">
        <v>20</v>
      </c>
      <c r="AC4" s="130" t="s">
        <v>34</v>
      </c>
      <c r="AD4" s="145" t="s">
        <v>37</v>
      </c>
      <c r="AE4" s="132" t="s">
        <v>36</v>
      </c>
      <c r="AF4" s="143" t="s">
        <v>35</v>
      </c>
    </row>
    <row r="5" spans="2:32" ht="32.25" customHeight="1" thickBot="1" x14ac:dyDescent="0.3">
      <c r="B5" s="121"/>
      <c r="C5" s="32" t="s">
        <v>23</v>
      </c>
      <c r="D5" s="35" t="s">
        <v>26</v>
      </c>
      <c r="E5" s="33" t="s">
        <v>24</v>
      </c>
      <c r="F5" s="33" t="s">
        <v>25</v>
      </c>
      <c r="G5" s="34" t="s">
        <v>24</v>
      </c>
      <c r="H5" s="116"/>
      <c r="I5" s="118"/>
      <c r="J5" s="140"/>
      <c r="K5" s="142"/>
      <c r="L5" s="142"/>
      <c r="M5" s="131"/>
      <c r="N5" s="45"/>
      <c r="O5" s="45"/>
      <c r="P5" s="133"/>
      <c r="Q5" s="133"/>
      <c r="R5" s="140"/>
      <c r="S5" s="142"/>
      <c r="T5" s="142"/>
      <c r="U5" s="131"/>
      <c r="V5" s="45"/>
      <c r="W5" s="45"/>
      <c r="X5" s="133"/>
      <c r="Y5" s="133"/>
      <c r="Z5" s="140"/>
      <c r="AA5" s="142"/>
      <c r="AB5" s="142"/>
      <c r="AC5" s="131"/>
      <c r="AD5" s="146"/>
      <c r="AE5" s="133"/>
      <c r="AF5" s="144"/>
    </row>
    <row r="6" spans="2:32" x14ac:dyDescent="0.25">
      <c r="B6" s="20">
        <v>2031</v>
      </c>
      <c r="C6" s="10">
        <v>283.2</v>
      </c>
      <c r="D6" s="36">
        <v>0</v>
      </c>
      <c r="E6" s="11">
        <v>22</v>
      </c>
      <c r="F6" s="11">
        <v>154.4</v>
      </c>
      <c r="G6" s="23">
        <v>66</v>
      </c>
      <c r="H6" s="26">
        <v>1928</v>
      </c>
      <c r="I6" s="19">
        <v>1010</v>
      </c>
      <c r="J6" s="4">
        <v>1858</v>
      </c>
      <c r="K6" s="5">
        <f>234*2+215</f>
        <v>683</v>
      </c>
      <c r="L6" s="5">
        <v>972</v>
      </c>
      <c r="M6" s="49">
        <f>I6-L6</f>
        <v>38</v>
      </c>
      <c r="N6" s="49">
        <f>H6-J6-M6</f>
        <v>32</v>
      </c>
      <c r="O6" s="49">
        <f>J6-J6</f>
        <v>0</v>
      </c>
      <c r="P6" s="53">
        <f>L6/I6</f>
        <v>0.96237623762376234</v>
      </c>
      <c r="Q6" s="50">
        <f>IF(N6&lt;O6,(J6+N6)/H6,(J6+O6)/H6)</f>
        <v>0.9636929460580913</v>
      </c>
      <c r="R6" s="148" t="s">
        <v>28</v>
      </c>
      <c r="S6" s="149"/>
      <c r="T6" s="150"/>
      <c r="U6" s="48">
        <v>0</v>
      </c>
      <c r="V6" s="48">
        <v>0</v>
      </c>
      <c r="W6" s="48">
        <v>0</v>
      </c>
      <c r="X6" s="53">
        <f>I6/I6</f>
        <v>1</v>
      </c>
      <c r="Y6" s="9">
        <v>1</v>
      </c>
      <c r="Z6" s="148" t="s">
        <v>27</v>
      </c>
      <c r="AA6" s="149"/>
      <c r="AB6" s="150"/>
      <c r="AC6" s="48">
        <v>0</v>
      </c>
      <c r="AD6" s="48">
        <v>0</v>
      </c>
      <c r="AE6" s="17">
        <v>1</v>
      </c>
      <c r="AF6" s="9">
        <v>1</v>
      </c>
    </row>
    <row r="7" spans="2:32" x14ac:dyDescent="0.25">
      <c r="B7" s="21">
        <v>2034</v>
      </c>
      <c r="C7" s="15">
        <v>283.2</v>
      </c>
      <c r="D7" s="37">
        <v>0</v>
      </c>
      <c r="E7" s="5">
        <v>27.5</v>
      </c>
      <c r="F7" s="5">
        <v>154.4</v>
      </c>
      <c r="G7" s="24">
        <v>82.5</v>
      </c>
      <c r="H7" s="27">
        <v>2022</v>
      </c>
      <c r="I7" s="28">
        <v>1058</v>
      </c>
      <c r="J7" s="15">
        <v>1866</v>
      </c>
      <c r="K7" s="16">
        <f>234*2+215</f>
        <v>683</v>
      </c>
      <c r="L7" s="16">
        <v>977</v>
      </c>
      <c r="M7" s="48">
        <f t="shared" ref="M7:M8" si="0">I7-L7</f>
        <v>81</v>
      </c>
      <c r="N7" s="48">
        <f t="shared" ref="N7:N8" si="1">H7-J7-M7</f>
        <v>75</v>
      </c>
      <c r="O7" s="48">
        <f>Z7-J7</f>
        <v>131</v>
      </c>
      <c r="P7" s="17">
        <f t="shared" ref="P7:P8" si="2">L7/I7</f>
        <v>0.92344045368620042</v>
      </c>
      <c r="Q7" s="9">
        <f t="shared" ref="Q7" si="3">IF(N7&lt;O7,(J7+N7)/H7,(J7+O7)/H7)</f>
        <v>0.9599406528189911</v>
      </c>
      <c r="R7" s="15">
        <v>1997</v>
      </c>
      <c r="S7" s="16">
        <v>774</v>
      </c>
      <c r="T7" s="16">
        <v>1046</v>
      </c>
      <c r="U7" s="46">
        <f t="shared" ref="U7:U8" si="4">I7-T7</f>
        <v>12</v>
      </c>
      <c r="V7" s="46">
        <f>H7-R7-U7</f>
        <v>13</v>
      </c>
      <c r="W7" s="46">
        <f>Z7-R7</f>
        <v>0</v>
      </c>
      <c r="X7" s="55">
        <f t="shared" ref="X7:X8" si="5">T7/I7</f>
        <v>0.98865784499054821</v>
      </c>
      <c r="Y7" s="9">
        <f t="shared" ref="Y7" si="6">IF(V7&lt;W7,(R7+V7)/H7,(R7+W7)/H7)</f>
        <v>0.98763600395647877</v>
      </c>
      <c r="Z7" s="15">
        <v>1997</v>
      </c>
      <c r="AA7" s="16">
        <f>265*2+244</f>
        <v>774</v>
      </c>
      <c r="AB7" s="16">
        <v>1046</v>
      </c>
      <c r="AC7" s="56">
        <f>I7-AB7</f>
        <v>12</v>
      </c>
      <c r="AD7" s="56">
        <f>H7-Z7-AC7</f>
        <v>13</v>
      </c>
      <c r="AE7" s="55">
        <f>AB7/I7</f>
        <v>0.98865784499054821</v>
      </c>
      <c r="AF7" s="9">
        <f>Z7/H7</f>
        <v>0.98763600395647877</v>
      </c>
    </row>
    <row r="8" spans="2:32" ht="15.75" thickBot="1" x14ac:dyDescent="0.3">
      <c r="B8" s="22">
        <v>2038</v>
      </c>
      <c r="C8" s="2">
        <v>424.79999999999995</v>
      </c>
      <c r="D8" s="38">
        <v>0</v>
      </c>
      <c r="E8" s="3">
        <v>38.5</v>
      </c>
      <c r="F8" s="3">
        <v>154.4</v>
      </c>
      <c r="G8" s="25">
        <v>115.5</v>
      </c>
      <c r="H8" s="29">
        <v>2162</v>
      </c>
      <c r="I8" s="30">
        <v>1143</v>
      </c>
      <c r="J8" s="2">
        <v>2079</v>
      </c>
      <c r="K8" s="3">
        <f>234*2+212</f>
        <v>680</v>
      </c>
      <c r="L8" s="3">
        <v>1099</v>
      </c>
      <c r="M8" s="51">
        <f t="shared" si="0"/>
        <v>44</v>
      </c>
      <c r="N8" s="51">
        <f t="shared" si="1"/>
        <v>39</v>
      </c>
      <c r="O8" s="51">
        <f>J8-J8</f>
        <v>0</v>
      </c>
      <c r="P8" s="54">
        <f t="shared" si="2"/>
        <v>0.96150481189851267</v>
      </c>
      <c r="Q8" s="14">
        <f>IF(N8&lt;O8,(J8+N8)/H8,(J8+O8)/H8)</f>
        <v>0.96160962072155409</v>
      </c>
      <c r="R8" s="2">
        <v>2150</v>
      </c>
      <c r="S8" s="3">
        <f>250*2+228</f>
        <v>728</v>
      </c>
      <c r="T8" s="3">
        <v>1137</v>
      </c>
      <c r="U8" s="47">
        <f t="shared" si="4"/>
        <v>6</v>
      </c>
      <c r="V8" s="57">
        <f>H8-R8-U8</f>
        <v>6</v>
      </c>
      <c r="W8" s="47">
        <f>R8-R8</f>
        <v>0</v>
      </c>
      <c r="X8" s="18">
        <f t="shared" si="5"/>
        <v>0.99475065616797897</v>
      </c>
      <c r="Y8" s="14">
        <f>IF(V8&lt;W8,(R8+V8)/H8,(R8+W8)/H8)</f>
        <v>0.9944495837187789</v>
      </c>
      <c r="Z8" s="151" t="s">
        <v>27</v>
      </c>
      <c r="AA8" s="152"/>
      <c r="AB8" s="153"/>
      <c r="AC8" s="47">
        <v>0</v>
      </c>
      <c r="AD8" s="47">
        <v>0</v>
      </c>
      <c r="AE8" s="18">
        <v>1</v>
      </c>
      <c r="AF8" s="14">
        <v>1</v>
      </c>
    </row>
    <row r="9" spans="2:32" x14ac:dyDescent="0.25">
      <c r="J9" s="154"/>
      <c r="K9" s="154"/>
      <c r="L9" s="154"/>
      <c r="M9" s="154"/>
      <c r="N9" s="154"/>
      <c r="O9" s="154"/>
      <c r="P9" s="154"/>
      <c r="Q9" s="154"/>
    </row>
    <row r="10" spans="2:32" x14ac:dyDescent="0.25">
      <c r="B10" t="s">
        <v>21</v>
      </c>
      <c r="Q10" s="40"/>
      <c r="Z10" s="147" t="s">
        <v>43</v>
      </c>
      <c r="AA10" s="147"/>
      <c r="AB10" s="147"/>
      <c r="AC10" s="147"/>
      <c r="AD10" s="147"/>
      <c r="AE10" s="147"/>
      <c r="AF10" s="147"/>
    </row>
    <row r="11" spans="2:32" x14ac:dyDescent="0.25">
      <c r="Q11" s="31"/>
      <c r="R11" s="31"/>
      <c r="S11" s="31"/>
      <c r="T11" s="31"/>
      <c r="U11" s="31"/>
      <c r="V11" s="31"/>
      <c r="W11" s="31"/>
      <c r="X11" s="31"/>
      <c r="Y11" s="31"/>
      <c r="Z11" s="147"/>
      <c r="AA11" s="147"/>
      <c r="AB11" s="147"/>
      <c r="AC11" s="147"/>
      <c r="AD11" s="147"/>
      <c r="AE11" s="147"/>
      <c r="AF11" s="147"/>
    </row>
    <row r="12" spans="2:32" ht="15" customHeight="1" x14ac:dyDescent="0.25">
      <c r="B12" s="13" t="s">
        <v>10</v>
      </c>
      <c r="C12" s="1"/>
      <c r="D12" s="1"/>
      <c r="E12" s="1"/>
      <c r="F12" s="1"/>
      <c r="G12" s="1"/>
      <c r="H12" s="1"/>
      <c r="I12" s="1"/>
      <c r="Q12" s="39"/>
      <c r="R12" s="39"/>
      <c r="S12" s="39"/>
      <c r="T12" s="39"/>
      <c r="U12" s="39"/>
      <c r="V12" s="39"/>
      <c r="W12" s="39"/>
      <c r="X12" s="39"/>
      <c r="Y12" s="39"/>
      <c r="Z12" s="147"/>
      <c r="AA12" s="147"/>
      <c r="AB12" s="147"/>
      <c r="AC12" s="147"/>
      <c r="AD12" s="147"/>
      <c r="AE12" s="147"/>
      <c r="AF12" s="147"/>
    </row>
    <row r="13" spans="2:32" x14ac:dyDescent="0.25">
      <c r="B13" s="12" t="s">
        <v>19</v>
      </c>
      <c r="C13" s="1"/>
      <c r="D13" s="1"/>
      <c r="E13" s="1"/>
      <c r="F13" s="1"/>
      <c r="G13" s="1"/>
      <c r="H13" s="1"/>
      <c r="I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32" x14ac:dyDescent="0.25">
      <c r="B14" s="12" t="s">
        <v>11</v>
      </c>
    </row>
    <row r="15" spans="2:32" x14ac:dyDescent="0.25">
      <c r="B15" s="12" t="s">
        <v>12</v>
      </c>
    </row>
    <row r="16" spans="2:32" x14ac:dyDescent="0.25">
      <c r="B16" s="12" t="s">
        <v>13</v>
      </c>
    </row>
    <row r="17" spans="2:2" x14ac:dyDescent="0.25">
      <c r="B17" s="12" t="s">
        <v>14</v>
      </c>
    </row>
    <row r="18" spans="2:2" x14ac:dyDescent="0.25">
      <c r="B18" s="12" t="s">
        <v>15</v>
      </c>
    </row>
    <row r="19" spans="2:2" x14ac:dyDescent="0.25">
      <c r="B19" s="12" t="s">
        <v>18</v>
      </c>
    </row>
    <row r="20" spans="2:2" x14ac:dyDescent="0.25">
      <c r="B20" s="12" t="s">
        <v>16</v>
      </c>
    </row>
    <row r="21" spans="2:2" x14ac:dyDescent="0.25">
      <c r="B21" s="12" t="s">
        <v>17</v>
      </c>
    </row>
  </sheetData>
  <mergeCells count="34">
    <mergeCell ref="B3:B5"/>
    <mergeCell ref="C3:G3"/>
    <mergeCell ref="H3:I3"/>
    <mergeCell ref="J3:Q3"/>
    <mergeCell ref="R3:Y3"/>
    <mergeCell ref="S4:S5"/>
    <mergeCell ref="T4:T5"/>
    <mergeCell ref="Y4:Y5"/>
    <mergeCell ref="C4:E4"/>
    <mergeCell ref="F4:G4"/>
    <mergeCell ref="H4:H5"/>
    <mergeCell ref="I4:I5"/>
    <mergeCell ref="J4:J5"/>
    <mergeCell ref="Z6:AB6"/>
    <mergeCell ref="Z3:AF3"/>
    <mergeCell ref="Z4:Z5"/>
    <mergeCell ref="AC4:AC5"/>
    <mergeCell ref="AE4:AE5"/>
    <mergeCell ref="Z10:AF12"/>
    <mergeCell ref="R6:T6"/>
    <mergeCell ref="Z8:AB8"/>
    <mergeCell ref="J9:Q9"/>
    <mergeCell ref="AA4:AA5"/>
    <mergeCell ref="AB4:AB5"/>
    <mergeCell ref="K4:K5"/>
    <mergeCell ref="L4:L5"/>
    <mergeCell ref="Q4:Q5"/>
    <mergeCell ref="R4:R5"/>
    <mergeCell ref="M4:M5"/>
    <mergeCell ref="P4:P5"/>
    <mergeCell ref="U4:U5"/>
    <mergeCell ref="X4:X5"/>
    <mergeCell ref="AF4:AF5"/>
    <mergeCell ref="AD4:A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20"/>
  <sheetViews>
    <sheetView zoomScaleNormal="100" workbookViewId="0">
      <selection activeCell="I15" sqref="I15"/>
    </sheetView>
  </sheetViews>
  <sheetFormatPr defaultRowHeight="15" x14ac:dyDescent="0.25"/>
  <cols>
    <col min="1" max="1" width="3.140625" customWidth="1"/>
    <col min="2" max="2" width="8.5703125" customWidth="1"/>
    <col min="3" max="3" width="12" customWidth="1"/>
    <col min="4" max="4" width="13.85546875" customWidth="1"/>
    <col min="5" max="8" width="12" customWidth="1"/>
    <col min="9" max="14" width="13.28515625" customWidth="1"/>
    <col min="15" max="16" width="13.28515625" hidden="1" customWidth="1"/>
    <col min="17" max="17" width="16.42578125" customWidth="1"/>
    <col min="18" max="21" width="13.28515625" customWidth="1"/>
    <col min="22" max="22" width="16.28515625" customWidth="1"/>
    <col min="23" max="24" width="16.28515625" hidden="1" customWidth="1"/>
    <col min="25" max="25" width="17" customWidth="1"/>
    <col min="26" max="31" width="13.28515625" customWidth="1"/>
    <col min="32" max="32" width="17" customWidth="1"/>
    <col min="33" max="33" width="13.28515625" customWidth="1"/>
  </cols>
  <sheetData>
    <row r="2" spans="2:33" ht="15.75" thickBot="1" x14ac:dyDescent="0.3"/>
    <row r="3" spans="2:33" ht="36" customHeight="1" thickBot="1" x14ac:dyDescent="0.3">
      <c r="B3" s="119" t="s">
        <v>0</v>
      </c>
      <c r="C3" s="122" t="s">
        <v>3</v>
      </c>
      <c r="D3" s="123"/>
      <c r="E3" s="124"/>
      <c r="F3" s="124"/>
      <c r="G3" s="158"/>
      <c r="H3" s="125"/>
      <c r="I3" s="126" t="s">
        <v>6</v>
      </c>
      <c r="J3" s="114"/>
      <c r="K3" s="127" t="s">
        <v>22</v>
      </c>
      <c r="L3" s="128"/>
      <c r="M3" s="128"/>
      <c r="N3" s="128"/>
      <c r="O3" s="128"/>
      <c r="P3" s="128"/>
      <c r="Q3" s="128"/>
      <c r="R3" s="129"/>
      <c r="S3" s="127" t="s">
        <v>33</v>
      </c>
      <c r="T3" s="128"/>
      <c r="U3" s="128"/>
      <c r="V3" s="128"/>
      <c r="W3" s="128"/>
      <c r="X3" s="128"/>
      <c r="Y3" s="128"/>
      <c r="Z3" s="129"/>
      <c r="AA3" s="111" t="s">
        <v>9</v>
      </c>
      <c r="AB3" s="112"/>
      <c r="AC3" s="112"/>
      <c r="AD3" s="113"/>
      <c r="AE3" s="113"/>
      <c r="AF3" s="113"/>
      <c r="AG3" s="114"/>
    </row>
    <row r="4" spans="2:33" ht="36" customHeight="1" x14ac:dyDescent="0.25">
      <c r="B4" s="120"/>
      <c r="C4" s="134" t="s">
        <v>1</v>
      </c>
      <c r="D4" s="135"/>
      <c r="E4" s="136"/>
      <c r="F4" s="137" t="s">
        <v>2</v>
      </c>
      <c r="G4" s="135"/>
      <c r="H4" s="138"/>
      <c r="I4" s="115" t="s">
        <v>7</v>
      </c>
      <c r="J4" s="117" t="s">
        <v>8</v>
      </c>
      <c r="K4" s="139" t="s">
        <v>5</v>
      </c>
      <c r="L4" s="141" t="s">
        <v>4</v>
      </c>
      <c r="M4" s="141" t="s">
        <v>20</v>
      </c>
      <c r="N4" s="130" t="s">
        <v>34</v>
      </c>
      <c r="O4" s="52"/>
      <c r="P4" s="52"/>
      <c r="Q4" s="132" t="s">
        <v>36</v>
      </c>
      <c r="R4" s="132" t="s">
        <v>35</v>
      </c>
      <c r="S4" s="139" t="s">
        <v>5</v>
      </c>
      <c r="T4" s="141" t="s">
        <v>4</v>
      </c>
      <c r="U4" s="141" t="s">
        <v>20</v>
      </c>
      <c r="V4" s="130" t="s">
        <v>34</v>
      </c>
      <c r="W4" s="52"/>
      <c r="X4" s="52"/>
      <c r="Y4" s="132" t="s">
        <v>36</v>
      </c>
      <c r="Z4" s="132" t="s">
        <v>35</v>
      </c>
      <c r="AA4" s="139" t="s">
        <v>5</v>
      </c>
      <c r="AB4" s="141" t="s">
        <v>4</v>
      </c>
      <c r="AC4" s="141" t="s">
        <v>20</v>
      </c>
      <c r="AD4" s="130" t="s">
        <v>34</v>
      </c>
      <c r="AE4" s="145" t="s">
        <v>37</v>
      </c>
      <c r="AF4" s="132" t="s">
        <v>36</v>
      </c>
      <c r="AG4" s="143" t="s">
        <v>35</v>
      </c>
    </row>
    <row r="5" spans="2:33" ht="32.25" customHeight="1" thickBot="1" x14ac:dyDescent="0.3">
      <c r="B5" s="121"/>
      <c r="C5" s="62" t="s">
        <v>23</v>
      </c>
      <c r="D5" s="35" t="s">
        <v>26</v>
      </c>
      <c r="E5" s="63" t="s">
        <v>24</v>
      </c>
      <c r="F5" s="63" t="s">
        <v>25</v>
      </c>
      <c r="G5" s="61" t="s">
        <v>38</v>
      </c>
      <c r="H5" s="64" t="s">
        <v>24</v>
      </c>
      <c r="I5" s="116"/>
      <c r="J5" s="118"/>
      <c r="K5" s="140"/>
      <c r="L5" s="142"/>
      <c r="M5" s="142"/>
      <c r="N5" s="131"/>
      <c r="O5" s="65"/>
      <c r="P5" s="65"/>
      <c r="Q5" s="133"/>
      <c r="R5" s="133"/>
      <c r="S5" s="140"/>
      <c r="T5" s="142"/>
      <c r="U5" s="142"/>
      <c r="V5" s="131"/>
      <c r="W5" s="65"/>
      <c r="X5" s="65"/>
      <c r="Y5" s="133"/>
      <c r="Z5" s="133"/>
      <c r="AA5" s="155"/>
      <c r="AB5" s="156"/>
      <c r="AC5" s="156"/>
      <c r="AD5" s="157"/>
      <c r="AE5" s="160"/>
      <c r="AF5" s="117"/>
      <c r="AG5" s="159"/>
    </row>
    <row r="6" spans="2:33" x14ac:dyDescent="0.25">
      <c r="B6" s="105">
        <v>2031</v>
      </c>
      <c r="C6" s="79">
        <v>141.6</v>
      </c>
      <c r="D6" s="71">
        <v>0</v>
      </c>
      <c r="E6" s="72">
        <v>22</v>
      </c>
      <c r="F6" s="72">
        <v>154.4</v>
      </c>
      <c r="G6" s="97">
        <v>75</v>
      </c>
      <c r="H6" s="73">
        <v>66</v>
      </c>
      <c r="I6" s="168">
        <v>1963</v>
      </c>
      <c r="J6" s="169">
        <v>1014</v>
      </c>
      <c r="K6" s="98">
        <v>1665</v>
      </c>
      <c r="L6" s="99">
        <f>234*2+218</f>
        <v>686</v>
      </c>
      <c r="M6" s="99">
        <v>862</v>
      </c>
      <c r="N6" s="49">
        <f>J6-M6</f>
        <v>152</v>
      </c>
      <c r="O6" s="49">
        <f>I6-K6-N6</f>
        <v>146</v>
      </c>
      <c r="P6" s="49">
        <f>AA6-K6</f>
        <v>247</v>
      </c>
      <c r="Q6" s="53">
        <f>M6/J6</f>
        <v>0.85009861932938857</v>
      </c>
      <c r="R6" s="50">
        <f>IF(O6&lt;P6,(K6+O6)/I6,(K6+P6)/I6)</f>
        <v>0.92256749872643917</v>
      </c>
      <c r="S6" s="98">
        <v>1808</v>
      </c>
      <c r="T6" s="99">
        <f>265*2+250</f>
        <v>780</v>
      </c>
      <c r="U6" s="99">
        <v>935</v>
      </c>
      <c r="V6" s="49">
        <f>J6-U6</f>
        <v>79</v>
      </c>
      <c r="W6" s="49">
        <f>I6-S6-V6</f>
        <v>76</v>
      </c>
      <c r="X6" s="49">
        <f>AA6-S6</f>
        <v>104</v>
      </c>
      <c r="Y6" s="53">
        <f>U6/J6</f>
        <v>0.92209072978303752</v>
      </c>
      <c r="Z6" s="53">
        <f>IF(W6&lt;X6,(S6+W6)/I6,(S6+X6)/I6)</f>
        <v>0.95975547631176772</v>
      </c>
      <c r="AA6" s="98">
        <v>1912</v>
      </c>
      <c r="AB6" s="99">
        <f>291*2+273</f>
        <v>855</v>
      </c>
      <c r="AC6" s="99">
        <v>989</v>
      </c>
      <c r="AD6" s="66">
        <f>J6-AC6</f>
        <v>25</v>
      </c>
      <c r="AE6" s="66">
        <f>I6-AA6-AD6</f>
        <v>26</v>
      </c>
      <c r="AF6" s="67">
        <f>AC6/J6</f>
        <v>0.97534516765285995</v>
      </c>
      <c r="AG6" s="50">
        <f>AA6/I6</f>
        <v>0.97401935812531837</v>
      </c>
    </row>
    <row r="7" spans="2:33" ht="15.75" thickBot="1" x14ac:dyDescent="0.3">
      <c r="B7" s="107">
        <v>2034</v>
      </c>
      <c r="C7" s="92">
        <v>141.6</v>
      </c>
      <c r="D7" s="174">
        <v>0</v>
      </c>
      <c r="E7" s="175">
        <v>27.5</v>
      </c>
      <c r="F7" s="175">
        <v>222.60000000000002</v>
      </c>
      <c r="G7" s="176">
        <v>75</v>
      </c>
      <c r="H7" s="177">
        <v>82.5</v>
      </c>
      <c r="I7" s="100">
        <v>2070</v>
      </c>
      <c r="J7" s="101">
        <v>1064</v>
      </c>
      <c r="K7" s="102">
        <v>1678</v>
      </c>
      <c r="L7" s="103">
        <f>230*2+215</f>
        <v>675</v>
      </c>
      <c r="M7" s="103">
        <v>861</v>
      </c>
      <c r="N7" s="51">
        <f t="shared" ref="N7" si="0">J7-M7</f>
        <v>203</v>
      </c>
      <c r="O7" s="51">
        <f t="shared" ref="O7" si="1">I7-K7-N7</f>
        <v>189</v>
      </c>
      <c r="P7" s="51">
        <f t="shared" ref="P7" si="2">AA7-K7</f>
        <v>325</v>
      </c>
      <c r="Q7" s="54">
        <f t="shared" ref="Q7" si="3">M7/J7</f>
        <v>0.80921052631578949</v>
      </c>
      <c r="R7" s="173">
        <f t="shared" ref="R7" si="4">IF(O7&lt;P7,(K7+O7)/I7,(K7+P7)/I7)</f>
        <v>0.90193236714975844</v>
      </c>
      <c r="S7" s="102">
        <v>1817</v>
      </c>
      <c r="T7" s="103">
        <f>263*2+247</f>
        <v>773</v>
      </c>
      <c r="U7" s="103">
        <v>935</v>
      </c>
      <c r="V7" s="178">
        <f t="shared" ref="V7" si="5">J7-U7</f>
        <v>129</v>
      </c>
      <c r="W7" s="178">
        <f>I7-S7-V7</f>
        <v>124</v>
      </c>
      <c r="X7" s="178">
        <f>AA7-S7</f>
        <v>186</v>
      </c>
      <c r="Y7" s="54">
        <f t="shared" ref="Y7" si="6">U7/J7</f>
        <v>0.87875939849624063</v>
      </c>
      <c r="Z7" s="54">
        <f t="shared" ref="Z7" si="7">IF(W7&lt;X7,(S7+W7)/I7,(S7+X7)/I7)</f>
        <v>0.93768115942028984</v>
      </c>
      <c r="AA7" s="102">
        <v>2003</v>
      </c>
      <c r="AB7" s="103">
        <f>308*2+292</f>
        <v>908</v>
      </c>
      <c r="AC7" s="103">
        <v>1031</v>
      </c>
      <c r="AD7" s="3">
        <f t="shared" ref="AD7" si="8">J7-AC7</f>
        <v>33</v>
      </c>
      <c r="AE7" s="44">
        <f>I7-AA7-AD7</f>
        <v>34</v>
      </c>
      <c r="AF7" s="68">
        <f>AC7/J7</f>
        <v>0.96898496240601506</v>
      </c>
      <c r="AG7" s="14">
        <f>AA7/I7</f>
        <v>0.96763285024154588</v>
      </c>
    </row>
    <row r="8" spans="2:33" x14ac:dyDescent="0.25">
      <c r="K8" s="154"/>
      <c r="L8" s="154"/>
      <c r="M8" s="154"/>
      <c r="N8" s="154"/>
      <c r="O8" s="154"/>
      <c r="P8" s="154"/>
      <c r="Q8" s="154"/>
      <c r="R8" s="154"/>
    </row>
    <row r="9" spans="2:33" x14ac:dyDescent="0.25">
      <c r="B9" t="s">
        <v>21</v>
      </c>
      <c r="R9" s="40"/>
    </row>
    <row r="10" spans="2:33" x14ac:dyDescent="0.25">
      <c r="H10" s="104" t="s">
        <v>44</v>
      </c>
      <c r="I10" s="104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2:33" ht="15" customHeight="1" x14ac:dyDescent="0.25">
      <c r="B11" s="13" t="s">
        <v>10</v>
      </c>
      <c r="C11" s="1"/>
      <c r="D11" s="1"/>
      <c r="E11" s="1"/>
      <c r="F11" s="1"/>
      <c r="G11" s="1"/>
      <c r="H11" s="1"/>
      <c r="I11" s="1"/>
      <c r="J11" s="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1"/>
      <c r="AC11" s="1"/>
      <c r="AD11" s="1"/>
      <c r="AE11" s="1"/>
      <c r="AF11" s="1"/>
      <c r="AG11" s="1"/>
    </row>
    <row r="12" spans="2:33" x14ac:dyDescent="0.25">
      <c r="B12" s="12" t="s">
        <v>19</v>
      </c>
      <c r="C12" s="1"/>
      <c r="D12" s="1"/>
      <c r="E12" s="1"/>
      <c r="F12" s="1"/>
      <c r="G12" s="1"/>
      <c r="H12" s="1"/>
      <c r="I12" s="1"/>
      <c r="J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2:33" x14ac:dyDescent="0.25">
      <c r="B13" s="12" t="s">
        <v>11</v>
      </c>
    </row>
    <row r="14" spans="2:33" x14ac:dyDescent="0.25">
      <c r="B14" s="12" t="s">
        <v>12</v>
      </c>
    </row>
    <row r="15" spans="2:33" x14ac:dyDescent="0.25">
      <c r="B15" s="12" t="s">
        <v>13</v>
      </c>
    </row>
    <row r="16" spans="2:33" x14ac:dyDescent="0.25">
      <c r="B16" s="12" t="s">
        <v>14</v>
      </c>
    </row>
    <row r="17" spans="2:2" x14ac:dyDescent="0.25">
      <c r="B17" s="12" t="s">
        <v>15</v>
      </c>
    </row>
    <row r="18" spans="2:2" x14ac:dyDescent="0.25">
      <c r="B18" s="12" t="s">
        <v>18</v>
      </c>
    </row>
    <row r="19" spans="2:2" x14ac:dyDescent="0.25">
      <c r="B19" s="12" t="s">
        <v>16</v>
      </c>
    </row>
    <row r="20" spans="2:2" x14ac:dyDescent="0.25">
      <c r="B20" s="12" t="s">
        <v>17</v>
      </c>
    </row>
  </sheetData>
  <mergeCells count="30">
    <mergeCell ref="B3:B5"/>
    <mergeCell ref="C3:H3"/>
    <mergeCell ref="I3:J3"/>
    <mergeCell ref="K3:R3"/>
    <mergeCell ref="AG4:AG5"/>
    <mergeCell ref="AE4:AE5"/>
    <mergeCell ref="AF4:AF5"/>
    <mergeCell ref="S3:Z3"/>
    <mergeCell ref="AA3:AG3"/>
    <mergeCell ref="C4:E4"/>
    <mergeCell ref="F4:H4"/>
    <mergeCell ref="I4:I5"/>
    <mergeCell ref="J4:J5"/>
    <mergeCell ref="M4:M5"/>
    <mergeCell ref="N4:N5"/>
    <mergeCell ref="Q4:Q5"/>
    <mergeCell ref="K8:R8"/>
    <mergeCell ref="AA4:AA5"/>
    <mergeCell ref="AB4:AB5"/>
    <mergeCell ref="AC4:AC5"/>
    <mergeCell ref="AD4:AD5"/>
    <mergeCell ref="S4:S5"/>
    <mergeCell ref="T4:T5"/>
    <mergeCell ref="U4:U5"/>
    <mergeCell ref="V4:V5"/>
    <mergeCell ref="Y4:Y5"/>
    <mergeCell ref="Z4:Z5"/>
    <mergeCell ref="K4:K5"/>
    <mergeCell ref="L4:L5"/>
    <mergeCell ref="R4:R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21"/>
  <sheetViews>
    <sheetView topLeftCell="P1" zoomScaleNormal="100" workbookViewId="0">
      <selection activeCell="E37" sqref="E37"/>
    </sheetView>
  </sheetViews>
  <sheetFormatPr defaultRowHeight="15" x14ac:dyDescent="0.25"/>
  <cols>
    <col min="1" max="1" width="3.140625" customWidth="1"/>
    <col min="2" max="2" width="8.5703125" customWidth="1"/>
    <col min="3" max="3" width="12" customWidth="1"/>
    <col min="4" max="4" width="13.85546875" customWidth="1"/>
    <col min="5" max="7" width="12" customWidth="1"/>
    <col min="8" max="13" width="13.28515625" customWidth="1"/>
    <col min="14" max="15" width="13.28515625" hidden="1" customWidth="1"/>
    <col min="16" max="16" width="16.42578125" customWidth="1"/>
    <col min="17" max="20" width="13.28515625" customWidth="1"/>
    <col min="21" max="21" width="16.28515625" customWidth="1"/>
    <col min="22" max="23" width="16.28515625" hidden="1" customWidth="1"/>
    <col min="24" max="24" width="17" customWidth="1"/>
    <col min="25" max="30" width="13.28515625" customWidth="1"/>
    <col min="31" max="31" width="17" customWidth="1"/>
    <col min="32" max="32" width="13.28515625" customWidth="1"/>
  </cols>
  <sheetData>
    <row r="2" spans="2:38" ht="15.75" thickBot="1" x14ac:dyDescent="0.3"/>
    <row r="3" spans="2:38" ht="36" customHeight="1" thickBot="1" x14ac:dyDescent="0.3">
      <c r="B3" s="119" t="s">
        <v>0</v>
      </c>
      <c r="C3" s="122" t="s">
        <v>3</v>
      </c>
      <c r="D3" s="123"/>
      <c r="E3" s="124"/>
      <c r="F3" s="124"/>
      <c r="G3" s="125"/>
      <c r="H3" s="126" t="s">
        <v>6</v>
      </c>
      <c r="I3" s="114"/>
      <c r="J3" s="127" t="s">
        <v>22</v>
      </c>
      <c r="K3" s="128"/>
      <c r="L3" s="128"/>
      <c r="M3" s="128"/>
      <c r="N3" s="128"/>
      <c r="O3" s="128"/>
      <c r="P3" s="128"/>
      <c r="Q3" s="129"/>
      <c r="R3" s="127" t="s">
        <v>33</v>
      </c>
      <c r="S3" s="128"/>
      <c r="T3" s="128"/>
      <c r="U3" s="128"/>
      <c r="V3" s="128"/>
      <c r="W3" s="128"/>
      <c r="X3" s="128"/>
      <c r="Y3" s="129"/>
      <c r="Z3" s="111" t="s">
        <v>9</v>
      </c>
      <c r="AA3" s="112"/>
      <c r="AB3" s="112"/>
      <c r="AC3" s="113"/>
      <c r="AD3" s="113"/>
      <c r="AE3" s="113"/>
      <c r="AF3" s="114"/>
    </row>
    <row r="4" spans="2:38" ht="36" customHeight="1" x14ac:dyDescent="0.25">
      <c r="B4" s="120"/>
      <c r="C4" s="134" t="s">
        <v>1</v>
      </c>
      <c r="D4" s="135"/>
      <c r="E4" s="136"/>
      <c r="F4" s="137" t="s">
        <v>2</v>
      </c>
      <c r="G4" s="138"/>
      <c r="H4" s="115" t="s">
        <v>7</v>
      </c>
      <c r="I4" s="117" t="s">
        <v>8</v>
      </c>
      <c r="J4" s="139" t="s">
        <v>5</v>
      </c>
      <c r="K4" s="141" t="s">
        <v>4</v>
      </c>
      <c r="L4" s="141" t="s">
        <v>20</v>
      </c>
      <c r="M4" s="130" t="s">
        <v>34</v>
      </c>
      <c r="N4" s="52"/>
      <c r="O4" s="52"/>
      <c r="P4" s="132" t="s">
        <v>36</v>
      </c>
      <c r="Q4" s="143" t="s">
        <v>35</v>
      </c>
      <c r="R4" s="139" t="s">
        <v>5</v>
      </c>
      <c r="S4" s="141" t="s">
        <v>4</v>
      </c>
      <c r="T4" s="141" t="s">
        <v>20</v>
      </c>
      <c r="U4" s="130" t="s">
        <v>34</v>
      </c>
      <c r="V4" s="52"/>
      <c r="W4" s="52"/>
      <c r="X4" s="132" t="s">
        <v>36</v>
      </c>
      <c r="Y4" s="143" t="s">
        <v>35</v>
      </c>
      <c r="Z4" s="139" t="s">
        <v>5</v>
      </c>
      <c r="AA4" s="141" t="s">
        <v>4</v>
      </c>
      <c r="AB4" s="141" t="s">
        <v>20</v>
      </c>
      <c r="AC4" s="130" t="s">
        <v>34</v>
      </c>
      <c r="AD4" s="145" t="s">
        <v>37</v>
      </c>
      <c r="AE4" s="132" t="s">
        <v>36</v>
      </c>
      <c r="AF4" s="143" t="s">
        <v>35</v>
      </c>
    </row>
    <row r="5" spans="2:38" ht="32.25" customHeight="1" thickBot="1" x14ac:dyDescent="0.3">
      <c r="B5" s="121"/>
      <c r="C5" s="32" t="s">
        <v>23</v>
      </c>
      <c r="D5" s="35" t="s">
        <v>26</v>
      </c>
      <c r="E5" s="33" t="s">
        <v>24</v>
      </c>
      <c r="F5" s="33" t="s">
        <v>25</v>
      </c>
      <c r="G5" s="34" t="s">
        <v>24</v>
      </c>
      <c r="H5" s="116"/>
      <c r="I5" s="118"/>
      <c r="J5" s="140"/>
      <c r="K5" s="142"/>
      <c r="L5" s="142"/>
      <c r="M5" s="131"/>
      <c r="N5" s="45"/>
      <c r="O5" s="45"/>
      <c r="P5" s="133"/>
      <c r="Q5" s="144"/>
      <c r="R5" s="140"/>
      <c r="S5" s="142"/>
      <c r="T5" s="142"/>
      <c r="U5" s="131"/>
      <c r="V5" s="45"/>
      <c r="W5" s="45"/>
      <c r="X5" s="133"/>
      <c r="Y5" s="144"/>
      <c r="Z5" s="140"/>
      <c r="AA5" s="142"/>
      <c r="AB5" s="142"/>
      <c r="AC5" s="131"/>
      <c r="AD5" s="146"/>
      <c r="AE5" s="133"/>
      <c r="AF5" s="144"/>
    </row>
    <row r="6" spans="2:38" x14ac:dyDescent="0.25">
      <c r="B6" s="20">
        <v>2031</v>
      </c>
      <c r="C6" s="10">
        <v>141.6</v>
      </c>
      <c r="D6" s="71">
        <v>50</v>
      </c>
      <c r="E6" s="72">
        <v>27.5</v>
      </c>
      <c r="F6" s="72">
        <f>154.4+68.2</f>
        <v>222.60000000000002</v>
      </c>
      <c r="G6" s="73">
        <v>82.5</v>
      </c>
      <c r="H6" s="26">
        <v>2056</v>
      </c>
      <c r="I6" s="19">
        <v>1065</v>
      </c>
      <c r="J6" s="74">
        <v>1753</v>
      </c>
      <c r="K6" s="75">
        <f>234*2+217</f>
        <v>685</v>
      </c>
      <c r="L6" s="75">
        <v>907</v>
      </c>
      <c r="M6" s="76">
        <f>I6-L6</f>
        <v>158</v>
      </c>
      <c r="N6" s="76">
        <f>H6-J6-M6</f>
        <v>145</v>
      </c>
      <c r="O6" s="76">
        <f>Z6-J6</f>
        <v>221</v>
      </c>
      <c r="P6" s="77">
        <f>L6/I6</f>
        <v>0.85164319248826292</v>
      </c>
      <c r="Q6" s="78">
        <f>IF(N6&lt;O6,(J6+N6)/H6,(J6+O6)/H6)</f>
        <v>0.9231517509727627</v>
      </c>
      <c r="R6" s="79">
        <v>1883</v>
      </c>
      <c r="S6" s="72">
        <f>264*2+247</f>
        <v>775</v>
      </c>
      <c r="T6" s="72">
        <v>975</v>
      </c>
      <c r="U6" s="76">
        <f>I6-T6</f>
        <v>90</v>
      </c>
      <c r="V6" s="80">
        <f>H6-R6-U6</f>
        <v>83</v>
      </c>
      <c r="W6" s="80">
        <f>Z6-R6</f>
        <v>91</v>
      </c>
      <c r="X6" s="77">
        <f>T6/I6</f>
        <v>0.91549295774647887</v>
      </c>
      <c r="Y6" s="70">
        <f>IF(V6&lt;W6,(R6+V6)/H6,(R6+W6)/H6)</f>
        <v>0.95622568093385218</v>
      </c>
      <c r="Z6" s="74">
        <v>1974</v>
      </c>
      <c r="AA6" s="75">
        <f>286*2+269</f>
        <v>841</v>
      </c>
      <c r="AB6" s="75">
        <v>1023</v>
      </c>
      <c r="AC6" s="80">
        <f>I6-AB6</f>
        <v>42</v>
      </c>
      <c r="AD6" s="81">
        <f>H6-Z6-AC6</f>
        <v>40</v>
      </c>
      <c r="AE6" s="82">
        <f>AB6/I6</f>
        <v>0.96056338028169019</v>
      </c>
      <c r="AF6" s="70">
        <f>Z6/H6</f>
        <v>0.96011673151750976</v>
      </c>
    </row>
    <row r="7" spans="2:38" x14ac:dyDescent="0.25">
      <c r="B7" s="21">
        <v>2034</v>
      </c>
      <c r="C7" s="15">
        <v>141.6</v>
      </c>
      <c r="D7" s="83">
        <v>150</v>
      </c>
      <c r="E7" s="75">
        <v>38.5</v>
      </c>
      <c r="F7" s="75">
        <f t="shared" ref="F7:F8" si="0">154.4+68.2</f>
        <v>222.60000000000002</v>
      </c>
      <c r="G7" s="84">
        <v>115.5</v>
      </c>
      <c r="H7" s="27">
        <v>2187</v>
      </c>
      <c r="I7" s="28">
        <v>1141</v>
      </c>
      <c r="J7" s="85">
        <v>1906</v>
      </c>
      <c r="K7" s="86">
        <f>233.5*2+214</f>
        <v>681</v>
      </c>
      <c r="L7" s="86">
        <v>995</v>
      </c>
      <c r="M7" s="80">
        <f t="shared" ref="M7:M8" si="1">I7-L7</f>
        <v>146</v>
      </c>
      <c r="N7" s="80">
        <f t="shared" ref="N7:N8" si="2">H7-J7-M7</f>
        <v>135</v>
      </c>
      <c r="O7" s="80">
        <f>Z7-J7</f>
        <v>216</v>
      </c>
      <c r="P7" s="82">
        <f t="shared" ref="P7:P8" si="3">L7/I7</f>
        <v>0.87204206836108678</v>
      </c>
      <c r="Q7" s="70">
        <f t="shared" ref="Q7" si="4">IF(N7&lt;O7,(J7+N7)/H7,(J7+O7)/H7)</f>
        <v>0.93324188385916784</v>
      </c>
      <c r="R7" s="85">
        <v>2018</v>
      </c>
      <c r="S7" s="86">
        <v>758</v>
      </c>
      <c r="T7" s="86">
        <v>1054</v>
      </c>
      <c r="U7" s="80">
        <f t="shared" ref="U7:U8" si="5">I7-T7</f>
        <v>87</v>
      </c>
      <c r="V7" s="80">
        <f>H7-R7-U7</f>
        <v>82</v>
      </c>
      <c r="W7" s="80">
        <f t="shared" ref="W7" si="6">Z7-R7</f>
        <v>104</v>
      </c>
      <c r="X7" s="87">
        <f t="shared" ref="X7:X8" si="7">T7/I7</f>
        <v>0.9237510955302366</v>
      </c>
      <c r="Y7" s="70">
        <f t="shared" ref="Y7" si="8">IF(V7&lt;W7,(R7+V7)/H7,(R7+W7)/H7)</f>
        <v>0.96021947873799729</v>
      </c>
      <c r="Z7" s="85">
        <v>2122</v>
      </c>
      <c r="AA7" s="86">
        <v>829</v>
      </c>
      <c r="AB7" s="86">
        <v>1108</v>
      </c>
      <c r="AC7" s="80">
        <f>I7-AB7</f>
        <v>33</v>
      </c>
      <c r="AD7" s="88">
        <f>H7-Z7-AC7</f>
        <v>32</v>
      </c>
      <c r="AE7" s="87">
        <f>AB7/I7</f>
        <v>0.97107800175284842</v>
      </c>
      <c r="AF7" s="70">
        <f>Z7/H7</f>
        <v>0.97027892089620482</v>
      </c>
    </row>
    <row r="8" spans="2:38" ht="15.75" thickBot="1" x14ac:dyDescent="0.3">
      <c r="B8" s="22">
        <v>2038</v>
      </c>
      <c r="C8" s="2">
        <v>141.6</v>
      </c>
      <c r="D8" s="89">
        <v>400</v>
      </c>
      <c r="E8" s="90">
        <v>55</v>
      </c>
      <c r="F8" s="90">
        <f t="shared" si="0"/>
        <v>222.60000000000002</v>
      </c>
      <c r="G8" s="91">
        <v>165</v>
      </c>
      <c r="H8" s="41">
        <v>2415</v>
      </c>
      <c r="I8" s="42">
        <v>1284</v>
      </c>
      <c r="J8" s="92">
        <v>2289</v>
      </c>
      <c r="K8" s="90">
        <f>236*2+211</f>
        <v>683</v>
      </c>
      <c r="L8" s="90">
        <v>1219</v>
      </c>
      <c r="M8" s="93">
        <f t="shared" si="1"/>
        <v>65</v>
      </c>
      <c r="N8" s="93">
        <f t="shared" si="2"/>
        <v>61</v>
      </c>
      <c r="O8" s="93">
        <f>J8-J8</f>
        <v>0</v>
      </c>
      <c r="P8" s="94">
        <f t="shared" si="3"/>
        <v>0.94937694704049846</v>
      </c>
      <c r="Q8" s="69">
        <f>IF(N8&lt;O8,(J8+N8)/H8,(J8+O8)/H8)</f>
        <v>0.94782608695652171</v>
      </c>
      <c r="R8" s="92">
        <v>2384</v>
      </c>
      <c r="S8" s="90">
        <f>252*2+227</f>
        <v>731</v>
      </c>
      <c r="T8" s="90">
        <v>1253</v>
      </c>
      <c r="U8" s="93">
        <f t="shared" si="5"/>
        <v>31</v>
      </c>
      <c r="V8" s="80">
        <f>H8-R8-U8</f>
        <v>0</v>
      </c>
      <c r="W8" s="80">
        <f>R8-R8</f>
        <v>0</v>
      </c>
      <c r="X8" s="95">
        <f t="shared" si="7"/>
        <v>0.97585669781931461</v>
      </c>
      <c r="Y8" s="69">
        <f>IF(V8&lt;W8,(R8+V8)/H8,(R8+W8)/H8)</f>
        <v>0.98716356107660452</v>
      </c>
      <c r="Z8" s="161" t="s">
        <v>27</v>
      </c>
      <c r="AA8" s="162"/>
      <c r="AB8" s="163"/>
      <c r="AC8" s="96">
        <v>0</v>
      </c>
      <c r="AD8" s="96">
        <v>0</v>
      </c>
      <c r="AE8" s="95">
        <v>1</v>
      </c>
      <c r="AF8" s="69">
        <v>1</v>
      </c>
    </row>
    <row r="9" spans="2:38" x14ac:dyDescent="0.25">
      <c r="J9" s="154"/>
      <c r="K9" s="154"/>
      <c r="L9" s="154"/>
      <c r="M9" s="154"/>
      <c r="N9" s="154"/>
      <c r="O9" s="154"/>
      <c r="P9" s="154"/>
      <c r="Q9" s="154"/>
    </row>
    <row r="10" spans="2:38" x14ac:dyDescent="0.25">
      <c r="B10" t="s">
        <v>21</v>
      </c>
      <c r="Q10" s="40"/>
    </row>
    <row r="11" spans="2:38" x14ac:dyDescent="0.25"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2:38" ht="15" customHeight="1" x14ac:dyDescent="0.25">
      <c r="B12" s="13" t="s">
        <v>10</v>
      </c>
      <c r="C12" s="1"/>
      <c r="D12" s="1"/>
      <c r="E12" s="1"/>
      <c r="F12" s="1"/>
      <c r="G12" s="1"/>
      <c r="H12" s="1"/>
      <c r="I12" s="1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1"/>
      <c r="AB12" s="1"/>
      <c r="AC12" s="1"/>
      <c r="AD12" s="1"/>
      <c r="AE12" s="1"/>
      <c r="AF12" s="1"/>
      <c r="AJ12" s="1"/>
      <c r="AK12" s="1"/>
      <c r="AL12" s="1"/>
    </row>
    <row r="13" spans="2:38" x14ac:dyDescent="0.25">
      <c r="B13" s="12" t="s">
        <v>19</v>
      </c>
      <c r="C13" s="1"/>
      <c r="D13" s="1"/>
      <c r="E13" s="1"/>
      <c r="F13" s="1"/>
      <c r="G13" s="1"/>
      <c r="H13" s="1"/>
      <c r="I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2:38" x14ac:dyDescent="0.25">
      <c r="B14" s="12" t="s">
        <v>11</v>
      </c>
    </row>
    <row r="15" spans="2:38" x14ac:dyDescent="0.25">
      <c r="B15" s="12" t="s">
        <v>12</v>
      </c>
    </row>
    <row r="16" spans="2:38" x14ac:dyDescent="0.25">
      <c r="B16" s="12" t="s">
        <v>13</v>
      </c>
      <c r="J16" s="43" t="s">
        <v>31</v>
      </c>
    </row>
    <row r="17" spans="2:10" x14ac:dyDescent="0.25">
      <c r="B17" s="12" t="s">
        <v>14</v>
      </c>
      <c r="J17" t="s">
        <v>30</v>
      </c>
    </row>
    <row r="18" spans="2:10" x14ac:dyDescent="0.25">
      <c r="B18" s="12" t="s">
        <v>15</v>
      </c>
      <c r="J18" t="s">
        <v>32</v>
      </c>
    </row>
    <row r="19" spans="2:10" x14ac:dyDescent="0.25">
      <c r="B19" s="12" t="s">
        <v>18</v>
      </c>
    </row>
    <row r="20" spans="2:10" x14ac:dyDescent="0.25">
      <c r="B20" s="12" t="s">
        <v>16</v>
      </c>
    </row>
    <row r="21" spans="2:10" x14ac:dyDescent="0.25">
      <c r="B21" s="12" t="s">
        <v>17</v>
      </c>
    </row>
  </sheetData>
  <mergeCells count="31">
    <mergeCell ref="Z3:AF3"/>
    <mergeCell ref="Z4:Z5"/>
    <mergeCell ref="B3:B5"/>
    <mergeCell ref="C3:G3"/>
    <mergeCell ref="H3:I3"/>
    <mergeCell ref="J3:Q3"/>
    <mergeCell ref="R3:Y3"/>
    <mergeCell ref="S4:S5"/>
    <mergeCell ref="T4:T5"/>
    <mergeCell ref="Y4:Y5"/>
    <mergeCell ref="C4:E4"/>
    <mergeCell ref="F4:G4"/>
    <mergeCell ref="H4:H5"/>
    <mergeCell ref="I4:I5"/>
    <mergeCell ref="J4:J5"/>
    <mergeCell ref="Z8:AB8"/>
    <mergeCell ref="J9:Q9"/>
    <mergeCell ref="AA4:AA5"/>
    <mergeCell ref="AB4:AB5"/>
    <mergeCell ref="AF4:AF5"/>
    <mergeCell ref="AC4:AC5"/>
    <mergeCell ref="AD4:AD5"/>
    <mergeCell ref="AE4:AE5"/>
    <mergeCell ref="U4:U5"/>
    <mergeCell ref="X4:X5"/>
    <mergeCell ref="M4:M5"/>
    <mergeCell ref="P4:P5"/>
    <mergeCell ref="K4:K5"/>
    <mergeCell ref="L4:L5"/>
    <mergeCell ref="Q4:Q5"/>
    <mergeCell ref="R4:R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21"/>
  <sheetViews>
    <sheetView zoomScaleNormal="100" workbookViewId="0">
      <selection activeCell="T15" sqref="A10:T15"/>
    </sheetView>
  </sheetViews>
  <sheetFormatPr defaultRowHeight="15" x14ac:dyDescent="0.25"/>
  <cols>
    <col min="1" max="1" width="3.140625" customWidth="1"/>
    <col min="2" max="2" width="8.5703125" customWidth="1"/>
    <col min="3" max="3" width="12" customWidth="1"/>
    <col min="4" max="4" width="13.85546875" customWidth="1"/>
    <col min="5" max="7" width="12" customWidth="1"/>
    <col min="8" max="13" width="13.28515625" customWidth="1"/>
    <col min="14" max="15" width="13.28515625" hidden="1" customWidth="1"/>
    <col min="16" max="16" width="16.42578125" customWidth="1"/>
    <col min="17" max="20" width="13.28515625" customWidth="1"/>
    <col min="21" max="22" width="16.28515625" customWidth="1"/>
    <col min="23" max="24" width="16.28515625" hidden="1" customWidth="1"/>
    <col min="25" max="25" width="17" customWidth="1"/>
    <col min="26" max="31" width="13.28515625" customWidth="1"/>
    <col min="32" max="32" width="17" customWidth="1"/>
    <col min="33" max="33" width="13.28515625" customWidth="1"/>
  </cols>
  <sheetData>
    <row r="2" spans="2:33" ht="15.75" thickBot="1" x14ac:dyDescent="0.3"/>
    <row r="3" spans="2:33" ht="36" customHeight="1" thickBot="1" x14ac:dyDescent="0.3">
      <c r="B3" s="119" t="s">
        <v>0</v>
      </c>
      <c r="C3" s="122" t="s">
        <v>3</v>
      </c>
      <c r="D3" s="123"/>
      <c r="E3" s="124"/>
      <c r="F3" s="124"/>
      <c r="G3" s="125"/>
      <c r="H3" s="126" t="s">
        <v>6</v>
      </c>
      <c r="I3" s="114"/>
      <c r="J3" s="127" t="s">
        <v>22</v>
      </c>
      <c r="K3" s="128"/>
      <c r="L3" s="128"/>
      <c r="M3" s="128"/>
      <c r="N3" s="128"/>
      <c r="O3" s="128"/>
      <c r="P3" s="128"/>
      <c r="Q3" s="129"/>
      <c r="R3" s="127" t="s">
        <v>33</v>
      </c>
      <c r="S3" s="128"/>
      <c r="T3" s="128"/>
      <c r="U3" s="128"/>
      <c r="V3" s="128"/>
      <c r="W3" s="128"/>
      <c r="X3" s="128"/>
      <c r="Y3" s="128"/>
      <c r="Z3" s="129"/>
      <c r="AA3" s="111" t="s">
        <v>9</v>
      </c>
      <c r="AB3" s="112"/>
      <c r="AC3" s="112"/>
      <c r="AD3" s="113"/>
      <c r="AE3" s="113"/>
      <c r="AF3" s="113"/>
      <c r="AG3" s="114"/>
    </row>
    <row r="4" spans="2:33" ht="36" customHeight="1" x14ac:dyDescent="0.25">
      <c r="B4" s="120"/>
      <c r="C4" s="134" t="s">
        <v>1</v>
      </c>
      <c r="D4" s="135"/>
      <c r="E4" s="136"/>
      <c r="F4" s="137" t="s">
        <v>2</v>
      </c>
      <c r="G4" s="138"/>
      <c r="H4" s="115" t="s">
        <v>7</v>
      </c>
      <c r="I4" s="117" t="s">
        <v>8</v>
      </c>
      <c r="J4" s="139" t="s">
        <v>5</v>
      </c>
      <c r="K4" s="141" t="s">
        <v>4</v>
      </c>
      <c r="L4" s="141" t="s">
        <v>20</v>
      </c>
      <c r="M4" s="130" t="s">
        <v>34</v>
      </c>
      <c r="N4" s="52"/>
      <c r="O4" s="52"/>
      <c r="P4" s="132" t="s">
        <v>36</v>
      </c>
      <c r="Q4" s="143" t="s">
        <v>35</v>
      </c>
      <c r="R4" s="139" t="s">
        <v>5</v>
      </c>
      <c r="S4" s="141" t="s">
        <v>4</v>
      </c>
      <c r="T4" s="141" t="s">
        <v>20</v>
      </c>
      <c r="U4" s="130" t="s">
        <v>34</v>
      </c>
      <c r="V4" s="145" t="s">
        <v>37</v>
      </c>
      <c r="W4" s="59"/>
      <c r="X4" s="59"/>
      <c r="Y4" s="132" t="s">
        <v>36</v>
      </c>
      <c r="Z4" s="143" t="s">
        <v>35</v>
      </c>
      <c r="AA4" s="139" t="s">
        <v>5</v>
      </c>
      <c r="AB4" s="141" t="s">
        <v>4</v>
      </c>
      <c r="AC4" s="141" t="s">
        <v>20</v>
      </c>
      <c r="AD4" s="130" t="s">
        <v>34</v>
      </c>
      <c r="AE4" s="145" t="s">
        <v>37</v>
      </c>
      <c r="AF4" s="132" t="s">
        <v>36</v>
      </c>
      <c r="AG4" s="143" t="s">
        <v>35</v>
      </c>
    </row>
    <row r="5" spans="2:33" ht="32.25" customHeight="1" thickBot="1" x14ac:dyDescent="0.3">
      <c r="B5" s="121"/>
      <c r="C5" s="32" t="s">
        <v>23</v>
      </c>
      <c r="D5" s="35" t="s">
        <v>26</v>
      </c>
      <c r="E5" s="33" t="s">
        <v>24</v>
      </c>
      <c r="F5" s="33" t="s">
        <v>25</v>
      </c>
      <c r="G5" s="34" t="s">
        <v>24</v>
      </c>
      <c r="H5" s="116"/>
      <c r="I5" s="118"/>
      <c r="J5" s="140"/>
      <c r="K5" s="142"/>
      <c r="L5" s="142"/>
      <c r="M5" s="131"/>
      <c r="N5" s="45"/>
      <c r="O5" s="45"/>
      <c r="P5" s="133"/>
      <c r="Q5" s="144"/>
      <c r="R5" s="140"/>
      <c r="S5" s="142"/>
      <c r="T5" s="142"/>
      <c r="U5" s="131"/>
      <c r="V5" s="146"/>
      <c r="W5" s="60"/>
      <c r="X5" s="60"/>
      <c r="Y5" s="133"/>
      <c r="Z5" s="144"/>
      <c r="AA5" s="140"/>
      <c r="AB5" s="142"/>
      <c r="AC5" s="142"/>
      <c r="AD5" s="131"/>
      <c r="AE5" s="146"/>
      <c r="AF5" s="133"/>
      <c r="AG5" s="144"/>
    </row>
    <row r="6" spans="2:33" x14ac:dyDescent="0.25">
      <c r="B6" s="20">
        <v>2031</v>
      </c>
      <c r="C6" s="10">
        <v>283.2</v>
      </c>
      <c r="D6" s="36">
        <v>0</v>
      </c>
      <c r="E6" s="11">
        <v>27.5</v>
      </c>
      <c r="F6" s="11">
        <v>154.4</v>
      </c>
      <c r="G6" s="23">
        <v>82.5</v>
      </c>
      <c r="H6" s="26">
        <v>2028</v>
      </c>
      <c r="I6" s="19">
        <v>1062</v>
      </c>
      <c r="J6" s="4">
        <v>1868</v>
      </c>
      <c r="K6" s="5">
        <f>234*2+215</f>
        <v>683</v>
      </c>
      <c r="L6" s="5">
        <v>978</v>
      </c>
      <c r="M6" s="49">
        <f>I6-L6</f>
        <v>84</v>
      </c>
      <c r="N6" s="49">
        <f>H6-J6-M6</f>
        <v>76</v>
      </c>
      <c r="O6" s="49">
        <f>AA6-J6</f>
        <v>130</v>
      </c>
      <c r="P6" s="53">
        <f>L6/I6</f>
        <v>0.92090395480225984</v>
      </c>
      <c r="Q6" s="50">
        <f>IF(N6&lt;O6,(J6+N6)/H6,(J6+O6)/H6)</f>
        <v>0.95857988165680474</v>
      </c>
      <c r="R6" s="148" t="s">
        <v>29</v>
      </c>
      <c r="S6" s="149"/>
      <c r="T6" s="150"/>
      <c r="U6" s="49">
        <f>AD6</f>
        <v>16</v>
      </c>
      <c r="V6" s="49">
        <f>AE6</f>
        <v>14</v>
      </c>
      <c r="W6" s="48"/>
      <c r="X6" s="48"/>
      <c r="Y6" s="53">
        <f t="shared" ref="Y6" si="0">AF6</f>
        <v>0.98493408662900184</v>
      </c>
      <c r="Z6" s="9">
        <f>AG6</f>
        <v>0.98520710059171601</v>
      </c>
      <c r="AA6" s="4">
        <v>1998</v>
      </c>
      <c r="AB6" s="5">
        <f>264*2+244</f>
        <v>772</v>
      </c>
      <c r="AC6" s="5">
        <v>1046</v>
      </c>
      <c r="AD6" s="48">
        <f>I6-AC6</f>
        <v>16</v>
      </c>
      <c r="AE6" s="48">
        <f>H6-AA6-AD6</f>
        <v>14</v>
      </c>
      <c r="AF6" s="17">
        <f>AC6/I6</f>
        <v>0.98493408662900184</v>
      </c>
      <c r="AG6" s="9">
        <f>AA6/H6</f>
        <v>0.98520710059171601</v>
      </c>
    </row>
    <row r="7" spans="2:33" x14ac:dyDescent="0.25">
      <c r="B7" s="21">
        <v>2034</v>
      </c>
      <c r="C7" s="15">
        <v>283.2</v>
      </c>
      <c r="D7" s="37">
        <v>0</v>
      </c>
      <c r="E7" s="5">
        <v>38.5</v>
      </c>
      <c r="F7" s="5">
        <v>222.6</v>
      </c>
      <c r="G7" s="24">
        <v>115.5</v>
      </c>
      <c r="H7" s="27">
        <v>2189</v>
      </c>
      <c r="I7" s="28">
        <v>1141</v>
      </c>
      <c r="J7" s="15">
        <v>1925</v>
      </c>
      <c r="K7" s="16">
        <f>234*2+215</f>
        <v>683</v>
      </c>
      <c r="L7" s="16">
        <v>989</v>
      </c>
      <c r="M7" s="48">
        <f t="shared" ref="M7" si="1">I7-L7</f>
        <v>152</v>
      </c>
      <c r="N7" s="48">
        <f t="shared" ref="N7" si="2">H7-J7-M7</f>
        <v>112</v>
      </c>
      <c r="O7" s="48">
        <f>AA7-J7</f>
        <v>188</v>
      </c>
      <c r="P7" s="17">
        <f t="shared" ref="P7" si="3">L7/I7</f>
        <v>0.86678352322524099</v>
      </c>
      <c r="Q7" s="9">
        <f>IF(N7&lt;O7,(J7+N7)/H7,(J7+O7)/H7)</f>
        <v>0.93056190041114661</v>
      </c>
      <c r="R7" s="15">
        <v>1990</v>
      </c>
      <c r="S7" s="16">
        <f>261*2+242</f>
        <v>764</v>
      </c>
      <c r="T7" s="16">
        <v>1052</v>
      </c>
      <c r="U7" s="48">
        <f>I7-T7</f>
        <v>89</v>
      </c>
      <c r="V7" s="48">
        <v>0</v>
      </c>
      <c r="W7" s="48">
        <f>H7-R7-U7</f>
        <v>110</v>
      </c>
      <c r="X7" s="48">
        <f>AA7-R7</f>
        <v>123</v>
      </c>
      <c r="Y7" s="55">
        <f>T7/I7</f>
        <v>0.92199824715162138</v>
      </c>
      <c r="Z7" s="9">
        <f>IF(W7&lt;X7,(R7+W7)/H7,(R7+X7)/H7)</f>
        <v>0.95934216537231609</v>
      </c>
      <c r="AA7" s="15">
        <v>2113</v>
      </c>
      <c r="AB7" s="16">
        <f>285* 2+265</f>
        <v>835</v>
      </c>
      <c r="AC7" s="16">
        <v>1102</v>
      </c>
      <c r="AD7" s="48">
        <f>I7-AC7</f>
        <v>39</v>
      </c>
      <c r="AE7" s="48">
        <f>H7-AA7-AD7</f>
        <v>37</v>
      </c>
      <c r="AF7" s="55">
        <f>AC7/I7</f>
        <v>0.96581945661700264</v>
      </c>
      <c r="AG7" s="9">
        <f>AA7/H7</f>
        <v>0.96528095020557336</v>
      </c>
    </row>
    <row r="8" spans="2:33" ht="15.75" thickBot="1" x14ac:dyDescent="0.3">
      <c r="B8" s="22">
        <v>2038</v>
      </c>
      <c r="C8" s="2">
        <v>566.4</v>
      </c>
      <c r="D8" s="38">
        <v>0</v>
      </c>
      <c r="E8" s="3">
        <v>55</v>
      </c>
      <c r="F8" s="3">
        <v>222.6</v>
      </c>
      <c r="G8" s="25">
        <v>165</v>
      </c>
      <c r="H8" s="41">
        <v>2383</v>
      </c>
      <c r="I8" s="42">
        <v>1277</v>
      </c>
      <c r="J8" s="151" t="s">
        <v>28</v>
      </c>
      <c r="K8" s="152"/>
      <c r="L8" s="153"/>
      <c r="M8" s="51">
        <v>0</v>
      </c>
      <c r="N8" s="51" t="e">
        <f>H8-J8-M8</f>
        <v>#VALUE!</v>
      </c>
      <c r="O8" s="51">
        <v>0</v>
      </c>
      <c r="P8" s="18">
        <v>1</v>
      </c>
      <c r="Q8" s="14">
        <v>1</v>
      </c>
      <c r="R8" s="151" t="s">
        <v>28</v>
      </c>
      <c r="S8" s="152"/>
      <c r="T8" s="153"/>
      <c r="U8" s="51">
        <f>AD8</f>
        <v>0</v>
      </c>
      <c r="V8" s="51">
        <f t="shared" ref="V8" si="4">AE8</f>
        <v>0</v>
      </c>
      <c r="W8" s="48"/>
      <c r="X8" s="48"/>
      <c r="Y8" s="18">
        <f t="shared" ref="Y8" si="5">AF8</f>
        <v>1</v>
      </c>
      <c r="Z8" s="14">
        <f t="shared" ref="Z8" si="6">AG8</f>
        <v>1</v>
      </c>
      <c r="AA8" s="151" t="s">
        <v>27</v>
      </c>
      <c r="AB8" s="152"/>
      <c r="AC8" s="153"/>
      <c r="AD8" s="47">
        <v>0</v>
      </c>
      <c r="AE8" s="47">
        <v>0</v>
      </c>
      <c r="AF8" s="18">
        <v>1</v>
      </c>
      <c r="AG8" s="14">
        <v>1</v>
      </c>
    </row>
    <row r="9" spans="2:33" x14ac:dyDescent="0.25">
      <c r="J9" s="154"/>
      <c r="K9" s="154"/>
      <c r="L9" s="154"/>
      <c r="M9" s="154"/>
      <c r="N9" s="154"/>
      <c r="O9" s="154"/>
      <c r="P9" s="154"/>
      <c r="Q9" s="154"/>
    </row>
    <row r="10" spans="2:33" x14ac:dyDescent="0.25">
      <c r="B10" t="s">
        <v>21</v>
      </c>
      <c r="Q10" s="40"/>
    </row>
    <row r="11" spans="2:33" x14ac:dyDescent="0.25"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2:33" ht="15" customHeight="1" x14ac:dyDescent="0.25">
      <c r="B12" s="13" t="s">
        <v>10</v>
      </c>
      <c r="C12" s="1"/>
      <c r="D12" s="1"/>
      <c r="E12" s="1"/>
      <c r="F12" s="1"/>
      <c r="G12" s="1"/>
      <c r="H12" s="1"/>
      <c r="I12" s="1"/>
      <c r="Q12" s="1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1"/>
      <c r="AC12" s="1"/>
      <c r="AD12" s="1"/>
      <c r="AE12" s="1"/>
      <c r="AF12" s="1"/>
      <c r="AG12" s="1"/>
    </row>
    <row r="13" spans="2:33" x14ac:dyDescent="0.25">
      <c r="B13" s="12" t="s">
        <v>19</v>
      </c>
      <c r="C13" s="1"/>
      <c r="D13" s="1"/>
      <c r="E13" s="1"/>
      <c r="F13" s="1"/>
      <c r="G13" s="1"/>
      <c r="H13" s="1"/>
      <c r="I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G13" s="1"/>
    </row>
    <row r="14" spans="2:33" x14ac:dyDescent="0.25">
      <c r="B14" s="12" t="s">
        <v>11</v>
      </c>
    </row>
    <row r="15" spans="2:33" x14ac:dyDescent="0.25">
      <c r="B15" s="12" t="s">
        <v>12</v>
      </c>
    </row>
    <row r="16" spans="2:33" x14ac:dyDescent="0.25">
      <c r="B16" s="12" t="s">
        <v>13</v>
      </c>
      <c r="J16" s="43" t="s">
        <v>31</v>
      </c>
    </row>
    <row r="17" spans="2:10" x14ac:dyDescent="0.25">
      <c r="B17" s="12" t="s">
        <v>14</v>
      </c>
      <c r="J17" t="s">
        <v>30</v>
      </c>
    </row>
    <row r="18" spans="2:10" x14ac:dyDescent="0.25">
      <c r="B18" s="12" t="s">
        <v>15</v>
      </c>
      <c r="J18" t="s">
        <v>32</v>
      </c>
    </row>
    <row r="19" spans="2:10" x14ac:dyDescent="0.25">
      <c r="B19" s="12" t="s">
        <v>18</v>
      </c>
    </row>
    <row r="20" spans="2:10" x14ac:dyDescent="0.25">
      <c r="B20" s="12" t="s">
        <v>16</v>
      </c>
    </row>
    <row r="21" spans="2:10" x14ac:dyDescent="0.25">
      <c r="B21" s="12" t="s">
        <v>17</v>
      </c>
    </row>
  </sheetData>
  <mergeCells count="35">
    <mergeCell ref="B3:B5"/>
    <mergeCell ref="C3:G3"/>
    <mergeCell ref="H3:I3"/>
    <mergeCell ref="J3:Q3"/>
    <mergeCell ref="R3:Z3"/>
    <mergeCell ref="S4:S5"/>
    <mergeCell ref="T4:T5"/>
    <mergeCell ref="Z4:Z5"/>
    <mergeCell ref="C4:E4"/>
    <mergeCell ref="F4:G4"/>
    <mergeCell ref="H4:H5"/>
    <mergeCell ref="I4:I5"/>
    <mergeCell ref="J4:J5"/>
    <mergeCell ref="AG4:AG5"/>
    <mergeCell ref="AE4:AE5"/>
    <mergeCell ref="R6:T6"/>
    <mergeCell ref="R4:R5"/>
    <mergeCell ref="AA3:AG3"/>
    <mergeCell ref="AA4:AA5"/>
    <mergeCell ref="AD4:AD5"/>
    <mergeCell ref="AF4:AF5"/>
    <mergeCell ref="AA8:AC8"/>
    <mergeCell ref="J9:Q9"/>
    <mergeCell ref="R8:T8"/>
    <mergeCell ref="AB4:AB5"/>
    <mergeCell ref="AC4:AC5"/>
    <mergeCell ref="K4:K5"/>
    <mergeCell ref="L4:L5"/>
    <mergeCell ref="Q4:Q5"/>
    <mergeCell ref="U4:U5"/>
    <mergeCell ref="Y4:Y5"/>
    <mergeCell ref="V4:V5"/>
    <mergeCell ref="M4:M5"/>
    <mergeCell ref="P4:P5"/>
    <mergeCell ref="J8:L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20"/>
  <sheetViews>
    <sheetView zoomScaleNormal="100" workbookViewId="0">
      <selection activeCell="I21" sqref="I21"/>
    </sheetView>
  </sheetViews>
  <sheetFormatPr defaultRowHeight="15" x14ac:dyDescent="0.25"/>
  <cols>
    <col min="1" max="1" width="3.140625" customWidth="1"/>
    <col min="2" max="2" width="8.5703125" customWidth="1"/>
    <col min="3" max="3" width="12" customWidth="1"/>
    <col min="4" max="4" width="13.85546875" customWidth="1"/>
    <col min="5" max="7" width="12" customWidth="1"/>
    <col min="8" max="13" width="13.28515625" customWidth="1"/>
    <col min="14" max="15" width="13.28515625" hidden="1" customWidth="1"/>
    <col min="16" max="16" width="16.42578125" customWidth="1"/>
    <col min="17" max="20" width="13.28515625" customWidth="1"/>
    <col min="21" max="21" width="16.28515625" customWidth="1"/>
    <col min="22" max="23" width="16.28515625" hidden="1" customWidth="1"/>
    <col min="24" max="24" width="17" customWidth="1"/>
    <col min="25" max="30" width="13.28515625" customWidth="1"/>
    <col min="31" max="31" width="17" customWidth="1"/>
    <col min="32" max="32" width="13.28515625" customWidth="1"/>
  </cols>
  <sheetData>
    <row r="2" spans="2:32" ht="15.75" thickBot="1" x14ac:dyDescent="0.3"/>
    <row r="3" spans="2:32" ht="36" customHeight="1" thickBot="1" x14ac:dyDescent="0.3">
      <c r="B3" s="119" t="s">
        <v>0</v>
      </c>
      <c r="C3" s="122" t="s">
        <v>3</v>
      </c>
      <c r="D3" s="123"/>
      <c r="E3" s="124"/>
      <c r="F3" s="124"/>
      <c r="G3" s="125"/>
      <c r="H3" s="126" t="s">
        <v>6</v>
      </c>
      <c r="I3" s="114"/>
      <c r="J3" s="127" t="s">
        <v>22</v>
      </c>
      <c r="K3" s="128"/>
      <c r="L3" s="128"/>
      <c r="M3" s="128"/>
      <c r="N3" s="128"/>
      <c r="O3" s="128"/>
      <c r="P3" s="128"/>
      <c r="Q3" s="129"/>
      <c r="R3" s="127" t="s">
        <v>33</v>
      </c>
      <c r="S3" s="128"/>
      <c r="T3" s="128"/>
      <c r="U3" s="128"/>
      <c r="V3" s="128"/>
      <c r="W3" s="128"/>
      <c r="X3" s="128"/>
      <c r="Y3" s="129"/>
      <c r="Z3" s="111" t="s">
        <v>9</v>
      </c>
      <c r="AA3" s="112"/>
      <c r="AB3" s="112"/>
      <c r="AC3" s="113"/>
      <c r="AD3" s="113"/>
      <c r="AE3" s="113"/>
      <c r="AF3" s="114"/>
    </row>
    <row r="4" spans="2:32" ht="36" customHeight="1" x14ac:dyDescent="0.25">
      <c r="B4" s="120"/>
      <c r="C4" s="134" t="s">
        <v>1</v>
      </c>
      <c r="D4" s="135"/>
      <c r="E4" s="136"/>
      <c r="F4" s="137" t="s">
        <v>2</v>
      </c>
      <c r="G4" s="138"/>
      <c r="H4" s="115" t="s">
        <v>7</v>
      </c>
      <c r="I4" s="117" t="s">
        <v>8</v>
      </c>
      <c r="J4" s="139" t="s">
        <v>5</v>
      </c>
      <c r="K4" s="141" t="s">
        <v>4</v>
      </c>
      <c r="L4" s="141" t="s">
        <v>20</v>
      </c>
      <c r="M4" s="130" t="s">
        <v>34</v>
      </c>
      <c r="N4" s="52"/>
      <c r="O4" s="52"/>
      <c r="P4" s="132" t="s">
        <v>36</v>
      </c>
      <c r="Q4" s="143" t="s">
        <v>35</v>
      </c>
      <c r="R4" s="139" t="s">
        <v>5</v>
      </c>
      <c r="S4" s="141" t="s">
        <v>4</v>
      </c>
      <c r="T4" s="141" t="s">
        <v>20</v>
      </c>
      <c r="U4" s="130" t="s">
        <v>34</v>
      </c>
      <c r="V4" s="52"/>
      <c r="W4" s="52"/>
      <c r="X4" s="132" t="s">
        <v>36</v>
      </c>
      <c r="Y4" s="143" t="s">
        <v>35</v>
      </c>
      <c r="Z4" s="139" t="s">
        <v>5</v>
      </c>
      <c r="AA4" s="141" t="s">
        <v>4</v>
      </c>
      <c r="AB4" s="141" t="s">
        <v>20</v>
      </c>
      <c r="AC4" s="130" t="s">
        <v>34</v>
      </c>
      <c r="AD4" s="145" t="s">
        <v>37</v>
      </c>
      <c r="AE4" s="132" t="s">
        <v>36</v>
      </c>
      <c r="AF4" s="143" t="s">
        <v>35</v>
      </c>
    </row>
    <row r="5" spans="2:32" ht="32.25" customHeight="1" thickBot="1" x14ac:dyDescent="0.3">
      <c r="B5" s="121"/>
      <c r="C5" s="32" t="s">
        <v>23</v>
      </c>
      <c r="D5" s="35" t="s">
        <v>26</v>
      </c>
      <c r="E5" s="33" t="s">
        <v>24</v>
      </c>
      <c r="F5" s="33" t="s">
        <v>25</v>
      </c>
      <c r="G5" s="34" t="s">
        <v>24</v>
      </c>
      <c r="H5" s="116"/>
      <c r="I5" s="118"/>
      <c r="J5" s="140"/>
      <c r="K5" s="142"/>
      <c r="L5" s="142"/>
      <c r="M5" s="131"/>
      <c r="N5" s="45"/>
      <c r="O5" s="45"/>
      <c r="P5" s="133"/>
      <c r="Q5" s="144"/>
      <c r="R5" s="140"/>
      <c r="S5" s="142"/>
      <c r="T5" s="142"/>
      <c r="U5" s="131"/>
      <c r="V5" s="45"/>
      <c r="W5" s="45"/>
      <c r="X5" s="133"/>
      <c r="Y5" s="144"/>
      <c r="Z5" s="140"/>
      <c r="AA5" s="142"/>
      <c r="AB5" s="142"/>
      <c r="AC5" s="131"/>
      <c r="AD5" s="146"/>
      <c r="AE5" s="133"/>
      <c r="AF5" s="144"/>
    </row>
    <row r="6" spans="2:32" x14ac:dyDescent="0.25">
      <c r="B6" s="105">
        <v>2031</v>
      </c>
      <c r="C6" s="10">
        <v>0</v>
      </c>
      <c r="D6" s="106">
        <v>0</v>
      </c>
      <c r="E6" s="11">
        <v>22</v>
      </c>
      <c r="F6" s="11">
        <v>154.4</v>
      </c>
      <c r="G6" s="23">
        <v>66</v>
      </c>
      <c r="H6" s="168">
        <v>1948</v>
      </c>
      <c r="I6" s="169">
        <v>996</v>
      </c>
      <c r="J6" s="98">
        <v>1395</v>
      </c>
      <c r="K6" s="99">
        <f>216*2+203</f>
        <v>635</v>
      </c>
      <c r="L6" s="99">
        <v>707</v>
      </c>
      <c r="M6" s="49">
        <f>I6-L6</f>
        <v>289</v>
      </c>
      <c r="N6" s="49">
        <f>H6-J6-M6</f>
        <v>264</v>
      </c>
      <c r="O6" s="49">
        <f>Z6-J6</f>
        <v>314</v>
      </c>
      <c r="P6" s="53">
        <f>L6/I6</f>
        <v>0.70983935742971882</v>
      </c>
      <c r="Q6" s="50">
        <f>IF(N6&lt;O6,(J6+N6)/H6,(J6+O6)/H6)</f>
        <v>0.85164271047227924</v>
      </c>
      <c r="R6" s="98">
        <v>1601</v>
      </c>
      <c r="S6" s="109">
        <f>2*264.5+250.5</f>
        <v>779.5</v>
      </c>
      <c r="T6" s="99">
        <v>819</v>
      </c>
      <c r="U6" s="49">
        <f>I6-T6</f>
        <v>177</v>
      </c>
      <c r="V6" s="49">
        <f>H6-R6-U6</f>
        <v>170</v>
      </c>
      <c r="W6" s="49">
        <f>Z6-R6</f>
        <v>108</v>
      </c>
      <c r="X6" s="53">
        <f>T6/I6</f>
        <v>0.82228915662650603</v>
      </c>
      <c r="Y6" s="50">
        <f>IF(V6&lt;W6,(R6+V6)/H6,(R6+W6)/H6)</f>
        <v>0.87731006160164271</v>
      </c>
      <c r="Z6" s="98">
        <v>1709</v>
      </c>
      <c r="AA6" s="99">
        <f>290*2+276</f>
        <v>856</v>
      </c>
      <c r="AB6" s="99">
        <v>875</v>
      </c>
      <c r="AC6" s="49">
        <f>I6-AB6</f>
        <v>121</v>
      </c>
      <c r="AD6" s="49">
        <f>H6-Z6-AC6</f>
        <v>118</v>
      </c>
      <c r="AE6" s="53">
        <f>AB6/I6</f>
        <v>0.87851405622489964</v>
      </c>
      <c r="AF6" s="50">
        <f>Z6/H6</f>
        <v>0.87731006160164271</v>
      </c>
    </row>
    <row r="7" spans="2:32" ht="15.75" thickBot="1" x14ac:dyDescent="0.3">
      <c r="B7" s="107">
        <v>2034</v>
      </c>
      <c r="C7" s="2">
        <v>141.6</v>
      </c>
      <c r="D7" s="170">
        <v>0</v>
      </c>
      <c r="E7" s="171">
        <v>22</v>
      </c>
      <c r="F7" s="171">
        <v>154.4</v>
      </c>
      <c r="G7" s="172">
        <v>66</v>
      </c>
      <c r="H7" s="100">
        <v>1971</v>
      </c>
      <c r="I7" s="101">
        <v>1023</v>
      </c>
      <c r="J7" s="102">
        <v>1667</v>
      </c>
      <c r="K7" s="103">
        <f>234*2+218</f>
        <v>686</v>
      </c>
      <c r="L7" s="103">
        <v>863</v>
      </c>
      <c r="M7" s="51">
        <f>I7-L7</f>
        <v>160</v>
      </c>
      <c r="N7" s="51">
        <f t="shared" ref="N7" si="0">H7-J7-M7</f>
        <v>144</v>
      </c>
      <c r="O7" s="51">
        <f t="shared" ref="O7" si="1">Z7-J7</f>
        <v>187</v>
      </c>
      <c r="P7" s="54">
        <f t="shared" ref="P7" si="2">L7/I7</f>
        <v>0.84359726295210169</v>
      </c>
      <c r="Q7" s="173">
        <f t="shared" ref="Q7" si="3">IF(N7&lt;O7,(J7+N7)/H7,(J7+O7)/H7)</f>
        <v>0.91882293252156266</v>
      </c>
      <c r="R7" s="102">
        <v>1800</v>
      </c>
      <c r="S7" s="108">
        <f>265.13+265.45+248.43</f>
        <v>779.01</v>
      </c>
      <c r="T7" s="103">
        <v>934</v>
      </c>
      <c r="U7" s="51">
        <f>I7-T7</f>
        <v>89</v>
      </c>
      <c r="V7" s="51">
        <f>H7-R7-U7</f>
        <v>82</v>
      </c>
      <c r="W7" s="51">
        <f t="shared" ref="W7" si="4">Z7-R7</f>
        <v>54</v>
      </c>
      <c r="X7" s="54">
        <f t="shared" ref="X7" si="5">T7/I7</f>
        <v>0.91300097751710652</v>
      </c>
      <c r="Y7" s="173">
        <f t="shared" ref="Y7" si="6">IF(V7&lt;W7,(R7+V7)/H7,(R7+W7)/H7)</f>
        <v>0.94063926940639264</v>
      </c>
      <c r="Z7" s="102">
        <v>1854</v>
      </c>
      <c r="AA7" s="103">
        <f>278*2+261</f>
        <v>817</v>
      </c>
      <c r="AB7" s="103">
        <v>963</v>
      </c>
      <c r="AC7" s="51">
        <f>I7-AB7</f>
        <v>60</v>
      </c>
      <c r="AD7" s="51">
        <f>H7-Z7-AC7</f>
        <v>57</v>
      </c>
      <c r="AE7" s="54">
        <f t="shared" ref="AE7" si="7">AB7/I7</f>
        <v>0.94134897360703818</v>
      </c>
      <c r="AF7" s="173">
        <f>Z7/H7</f>
        <v>0.94063926940639264</v>
      </c>
    </row>
    <row r="9" spans="2:32" x14ac:dyDescent="0.25">
      <c r="B9" t="s">
        <v>21</v>
      </c>
    </row>
    <row r="10" spans="2:32" x14ac:dyDescent="0.25">
      <c r="H10" s="104" t="s">
        <v>44</v>
      </c>
      <c r="I10" s="104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2:32" ht="15" customHeight="1" x14ac:dyDescent="0.25">
      <c r="B11" s="13" t="s">
        <v>10</v>
      </c>
      <c r="C11" s="1"/>
      <c r="D11" s="1"/>
      <c r="E11" s="1"/>
      <c r="F11" s="1"/>
      <c r="G11" s="1"/>
      <c r="H11" s="1"/>
      <c r="I11" s="1"/>
      <c r="O11" s="58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1"/>
      <c r="AB11" s="1"/>
      <c r="AC11" s="1"/>
      <c r="AD11" s="1"/>
      <c r="AE11" s="1"/>
      <c r="AF11" s="1"/>
    </row>
    <row r="12" spans="2:32" x14ac:dyDescent="0.25">
      <c r="B12" s="12" t="s">
        <v>19</v>
      </c>
      <c r="C12" s="1"/>
      <c r="D12" s="1"/>
      <c r="E12" s="1"/>
      <c r="F12" s="1"/>
      <c r="G12" s="1"/>
      <c r="H12" s="1"/>
      <c r="I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x14ac:dyDescent="0.25">
      <c r="B13" s="12" t="s">
        <v>11</v>
      </c>
    </row>
    <row r="14" spans="2:32" x14ac:dyDescent="0.25">
      <c r="B14" s="12" t="s">
        <v>12</v>
      </c>
    </row>
    <row r="15" spans="2:32" x14ac:dyDescent="0.25">
      <c r="B15" s="12" t="s">
        <v>13</v>
      </c>
    </row>
    <row r="16" spans="2:32" x14ac:dyDescent="0.25">
      <c r="B16" s="12" t="s">
        <v>14</v>
      </c>
    </row>
    <row r="17" spans="2:2" x14ac:dyDescent="0.25">
      <c r="B17" s="12" t="s">
        <v>15</v>
      </c>
    </row>
    <row r="18" spans="2:2" x14ac:dyDescent="0.25">
      <c r="B18" s="12" t="s">
        <v>18</v>
      </c>
    </row>
    <row r="19" spans="2:2" x14ac:dyDescent="0.25">
      <c r="B19" s="12" t="s">
        <v>16</v>
      </c>
    </row>
    <row r="20" spans="2:2" x14ac:dyDescent="0.25">
      <c r="B20" s="12" t="s">
        <v>17</v>
      </c>
    </row>
  </sheetData>
  <mergeCells count="29">
    <mergeCell ref="B3:B5"/>
    <mergeCell ref="C3:G3"/>
    <mergeCell ref="H3:I3"/>
    <mergeCell ref="J3:Q3"/>
    <mergeCell ref="R3:Y3"/>
    <mergeCell ref="S4:S5"/>
    <mergeCell ref="T4:T5"/>
    <mergeCell ref="Y4:Y5"/>
    <mergeCell ref="K4:K5"/>
    <mergeCell ref="L4:L5"/>
    <mergeCell ref="Q4:Q5"/>
    <mergeCell ref="R4:R5"/>
    <mergeCell ref="C4:E4"/>
    <mergeCell ref="F4:G4"/>
    <mergeCell ref="H4:H5"/>
    <mergeCell ref="I4:I5"/>
    <mergeCell ref="Z3:AF3"/>
    <mergeCell ref="Z4:Z5"/>
    <mergeCell ref="AA4:AA5"/>
    <mergeCell ref="AB4:AB5"/>
    <mergeCell ref="AF4:AF5"/>
    <mergeCell ref="J4:J5"/>
    <mergeCell ref="AC4:AC5"/>
    <mergeCell ref="AD4:AD5"/>
    <mergeCell ref="AE4:AE5"/>
    <mergeCell ref="M4:M5"/>
    <mergeCell ref="P4:P5"/>
    <mergeCell ref="U4:U5"/>
    <mergeCell ref="X4:X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20"/>
  <sheetViews>
    <sheetView zoomScaleNormal="100" workbookViewId="0">
      <selection activeCell="E29" sqref="E29"/>
    </sheetView>
  </sheetViews>
  <sheetFormatPr defaultRowHeight="15" x14ac:dyDescent="0.25"/>
  <cols>
    <col min="1" max="1" width="3.140625" customWidth="1"/>
    <col min="2" max="2" width="8.5703125" customWidth="1"/>
    <col min="3" max="3" width="12" customWidth="1"/>
    <col min="4" max="4" width="13.85546875" customWidth="1"/>
    <col min="5" max="7" width="12" customWidth="1"/>
    <col min="8" max="13" width="13.28515625" customWidth="1"/>
    <col min="14" max="15" width="13.28515625" hidden="1" customWidth="1"/>
    <col min="16" max="16" width="16.42578125" customWidth="1"/>
    <col min="17" max="20" width="13.28515625" customWidth="1"/>
    <col min="21" max="21" width="16.28515625" customWidth="1"/>
    <col min="22" max="23" width="16.28515625" hidden="1" customWidth="1"/>
    <col min="24" max="24" width="17" customWidth="1"/>
    <col min="25" max="30" width="13.28515625" customWidth="1"/>
    <col min="31" max="31" width="17" customWidth="1"/>
    <col min="32" max="32" width="13.28515625" customWidth="1"/>
  </cols>
  <sheetData>
    <row r="2" spans="2:32" ht="15.75" thickBot="1" x14ac:dyDescent="0.3"/>
    <row r="3" spans="2:32" ht="36" customHeight="1" thickBot="1" x14ac:dyDescent="0.3">
      <c r="B3" s="119" t="s">
        <v>0</v>
      </c>
      <c r="C3" s="122" t="s">
        <v>3</v>
      </c>
      <c r="D3" s="123"/>
      <c r="E3" s="124"/>
      <c r="F3" s="124"/>
      <c r="G3" s="125"/>
      <c r="H3" s="126" t="s">
        <v>6</v>
      </c>
      <c r="I3" s="114"/>
      <c r="J3" s="127" t="s">
        <v>22</v>
      </c>
      <c r="K3" s="128"/>
      <c r="L3" s="128"/>
      <c r="M3" s="128"/>
      <c r="N3" s="128"/>
      <c r="O3" s="128"/>
      <c r="P3" s="128"/>
      <c r="Q3" s="129"/>
      <c r="R3" s="127" t="s">
        <v>33</v>
      </c>
      <c r="S3" s="128"/>
      <c r="T3" s="128"/>
      <c r="U3" s="128"/>
      <c r="V3" s="128"/>
      <c r="W3" s="128"/>
      <c r="X3" s="128"/>
      <c r="Y3" s="129"/>
      <c r="Z3" s="111" t="s">
        <v>9</v>
      </c>
      <c r="AA3" s="112"/>
      <c r="AB3" s="112"/>
      <c r="AC3" s="113"/>
      <c r="AD3" s="113"/>
      <c r="AE3" s="113"/>
      <c r="AF3" s="114"/>
    </row>
    <row r="4" spans="2:32" ht="36" customHeight="1" x14ac:dyDescent="0.25">
      <c r="B4" s="120"/>
      <c r="C4" s="134" t="s">
        <v>1</v>
      </c>
      <c r="D4" s="135"/>
      <c r="E4" s="136"/>
      <c r="F4" s="137" t="s">
        <v>2</v>
      </c>
      <c r="G4" s="138"/>
      <c r="H4" s="115" t="s">
        <v>7</v>
      </c>
      <c r="I4" s="117" t="s">
        <v>8</v>
      </c>
      <c r="J4" s="139" t="s">
        <v>5</v>
      </c>
      <c r="K4" s="141" t="s">
        <v>4</v>
      </c>
      <c r="L4" s="141" t="s">
        <v>20</v>
      </c>
      <c r="M4" s="130" t="s">
        <v>34</v>
      </c>
      <c r="N4" s="52"/>
      <c r="O4" s="52"/>
      <c r="P4" s="132" t="s">
        <v>36</v>
      </c>
      <c r="Q4" s="143" t="s">
        <v>35</v>
      </c>
      <c r="R4" s="139" t="s">
        <v>5</v>
      </c>
      <c r="S4" s="141" t="s">
        <v>4</v>
      </c>
      <c r="T4" s="141" t="s">
        <v>20</v>
      </c>
      <c r="U4" s="130" t="s">
        <v>34</v>
      </c>
      <c r="V4" s="52"/>
      <c r="W4" s="52"/>
      <c r="X4" s="132" t="s">
        <v>36</v>
      </c>
      <c r="Y4" s="143" t="s">
        <v>35</v>
      </c>
      <c r="Z4" s="139" t="s">
        <v>5</v>
      </c>
      <c r="AA4" s="141" t="s">
        <v>4</v>
      </c>
      <c r="AB4" s="141" t="s">
        <v>20</v>
      </c>
      <c r="AC4" s="130" t="s">
        <v>34</v>
      </c>
      <c r="AD4" s="145" t="s">
        <v>37</v>
      </c>
      <c r="AE4" s="132" t="s">
        <v>36</v>
      </c>
      <c r="AF4" s="143" t="s">
        <v>35</v>
      </c>
    </row>
    <row r="5" spans="2:32" ht="32.25" customHeight="1" thickBot="1" x14ac:dyDescent="0.3">
      <c r="B5" s="121"/>
      <c r="C5" s="32" t="s">
        <v>23</v>
      </c>
      <c r="D5" s="35" t="s">
        <v>26</v>
      </c>
      <c r="E5" s="33" t="s">
        <v>24</v>
      </c>
      <c r="F5" s="33" t="s">
        <v>25</v>
      </c>
      <c r="G5" s="34" t="s">
        <v>24</v>
      </c>
      <c r="H5" s="116"/>
      <c r="I5" s="118"/>
      <c r="J5" s="140"/>
      <c r="K5" s="142"/>
      <c r="L5" s="142"/>
      <c r="M5" s="131"/>
      <c r="N5" s="45"/>
      <c r="O5" s="45"/>
      <c r="P5" s="133"/>
      <c r="Q5" s="144"/>
      <c r="R5" s="140"/>
      <c r="S5" s="142"/>
      <c r="T5" s="142"/>
      <c r="U5" s="131"/>
      <c r="V5" s="45"/>
      <c r="W5" s="45"/>
      <c r="X5" s="133"/>
      <c r="Y5" s="144"/>
      <c r="Z5" s="140"/>
      <c r="AA5" s="142"/>
      <c r="AB5" s="142"/>
      <c r="AC5" s="131"/>
      <c r="AD5" s="146"/>
      <c r="AE5" s="133"/>
      <c r="AF5" s="144"/>
    </row>
    <row r="6" spans="2:32" x14ac:dyDescent="0.25">
      <c r="B6" s="105">
        <v>2031</v>
      </c>
      <c r="C6" s="10">
        <v>141.6</v>
      </c>
      <c r="D6" s="106">
        <v>0</v>
      </c>
      <c r="E6" s="11">
        <v>22</v>
      </c>
      <c r="F6" s="11">
        <v>154.4</v>
      </c>
      <c r="G6" s="23">
        <v>66</v>
      </c>
      <c r="H6" s="168">
        <v>1902</v>
      </c>
      <c r="I6" s="169">
        <v>987</v>
      </c>
      <c r="J6" s="98">
        <v>1668</v>
      </c>
      <c r="K6" s="99">
        <f>234*2+218</f>
        <v>686</v>
      </c>
      <c r="L6" s="99">
        <v>864</v>
      </c>
      <c r="M6" s="49">
        <f>I6-L6</f>
        <v>123</v>
      </c>
      <c r="N6" s="49">
        <f>H6-J6-M6</f>
        <v>111</v>
      </c>
      <c r="O6" s="49">
        <f>Z6-J6</f>
        <v>184</v>
      </c>
      <c r="P6" s="53">
        <f>L6/I6</f>
        <v>0.87537993920972645</v>
      </c>
      <c r="Q6" s="50">
        <f>IF(N6&lt;O6,(J6+N6)/H6,(J6+O6)/H6)</f>
        <v>0.93533123028391163</v>
      </c>
      <c r="R6" s="98">
        <v>1804</v>
      </c>
      <c r="S6" s="99">
        <f>266+265+249</f>
        <v>780</v>
      </c>
      <c r="T6" s="99">
        <v>935</v>
      </c>
      <c r="U6" s="49">
        <f>I6-T6</f>
        <v>52</v>
      </c>
      <c r="V6" s="49">
        <f>H6-R6-U6</f>
        <v>46</v>
      </c>
      <c r="W6" s="49">
        <f>Z6-R6</f>
        <v>48</v>
      </c>
      <c r="X6" s="53">
        <f>T6/I6</f>
        <v>0.94731509625126642</v>
      </c>
      <c r="Y6" s="50">
        <f>IF(V6&lt;W6,(R6+V6)/H6,(R6+W6)/H6)</f>
        <v>0.97266035751840163</v>
      </c>
      <c r="Z6" s="98">
        <v>1852</v>
      </c>
      <c r="AA6" s="99">
        <f>277.5*2+260</f>
        <v>815</v>
      </c>
      <c r="AB6" s="99">
        <v>961</v>
      </c>
      <c r="AC6" s="49">
        <f>I6-AB6</f>
        <v>26</v>
      </c>
      <c r="AD6" s="49">
        <f>H6-Z6-AC6</f>
        <v>24</v>
      </c>
      <c r="AE6" s="53">
        <f>AB6/I6</f>
        <v>0.97365754812563321</v>
      </c>
      <c r="AF6" s="50">
        <f>Z6/H6</f>
        <v>0.97371188222923244</v>
      </c>
    </row>
    <row r="7" spans="2:32" ht="15.75" thickBot="1" x14ac:dyDescent="0.3">
      <c r="B7" s="107">
        <v>2034</v>
      </c>
      <c r="C7" s="2">
        <v>141.6</v>
      </c>
      <c r="D7" s="170">
        <v>0</v>
      </c>
      <c r="E7" s="171">
        <v>22</v>
      </c>
      <c r="F7" s="171">
        <v>154.4</v>
      </c>
      <c r="G7" s="172">
        <v>66</v>
      </c>
      <c r="H7" s="100">
        <f>'Scenario 4AEF'!H7</f>
        <v>1971</v>
      </c>
      <c r="I7" s="101">
        <f>'Scenario 4AEF'!I7</f>
        <v>1023</v>
      </c>
      <c r="J7" s="102">
        <f>'Scenario 4AEF'!J7</f>
        <v>1667</v>
      </c>
      <c r="K7" s="103">
        <f>'Scenario 4AEF'!K7</f>
        <v>686</v>
      </c>
      <c r="L7" s="103">
        <f>'Scenario 4AEF'!L7</f>
        <v>863</v>
      </c>
      <c r="M7" s="51">
        <f>I7-L7</f>
        <v>160</v>
      </c>
      <c r="N7" s="51">
        <f t="shared" ref="N7" si="0">H7-J7-M7</f>
        <v>144</v>
      </c>
      <c r="O7" s="51">
        <f t="shared" ref="O7" si="1">Z7-J7</f>
        <v>187</v>
      </c>
      <c r="P7" s="54">
        <f t="shared" ref="P7" si="2">L7/I7</f>
        <v>0.84359726295210169</v>
      </c>
      <c r="Q7" s="173">
        <f t="shared" ref="Q7" si="3">IF(N7&lt;O7,(J7+N7)/H7,(J7+O7)/H7)</f>
        <v>0.91882293252156266</v>
      </c>
      <c r="R7" s="102">
        <f>'Scenario 4AEF'!R7</f>
        <v>1800</v>
      </c>
      <c r="S7" s="108">
        <f>'Scenario 4AEF'!S7</f>
        <v>779.01</v>
      </c>
      <c r="T7" s="103">
        <f>'Scenario 4AEF'!T7</f>
        <v>934</v>
      </c>
      <c r="U7" s="51">
        <f>I7-T7</f>
        <v>89</v>
      </c>
      <c r="V7" s="51">
        <v>54</v>
      </c>
      <c r="W7" s="51">
        <f t="shared" ref="W7" si="4">Z7-R7</f>
        <v>54</v>
      </c>
      <c r="X7" s="54">
        <f t="shared" ref="X7" si="5">T7/I7</f>
        <v>0.91300097751710652</v>
      </c>
      <c r="Y7" s="173">
        <f t="shared" ref="Y7" si="6">IF(V7&lt;W7,(R7+V7)/H7,(R7+W7)/H7)</f>
        <v>0.94063926940639264</v>
      </c>
      <c r="Z7" s="102">
        <f>'Scenario 4AEF'!Z7</f>
        <v>1854</v>
      </c>
      <c r="AA7" s="103">
        <f>'Scenario 4AEF'!AA7</f>
        <v>817</v>
      </c>
      <c r="AB7" s="103">
        <f>'Scenario 4AEF'!AB7</f>
        <v>963</v>
      </c>
      <c r="AC7" s="51">
        <f>I7-AB7</f>
        <v>60</v>
      </c>
      <c r="AD7" s="51">
        <f>H7-Z7-AC7</f>
        <v>57</v>
      </c>
      <c r="AE7" s="54">
        <f>AB7/I7</f>
        <v>0.94134897360703818</v>
      </c>
      <c r="AF7" s="173">
        <f>Z7/H7</f>
        <v>0.94063926940639264</v>
      </c>
    </row>
    <row r="9" spans="2:32" x14ac:dyDescent="0.25">
      <c r="B9" t="s">
        <v>21</v>
      </c>
    </row>
    <row r="10" spans="2:32" x14ac:dyDescent="0.25">
      <c r="H10" s="104" t="s">
        <v>44</v>
      </c>
      <c r="I10" s="104"/>
      <c r="Q10" s="31"/>
      <c r="R10" s="31"/>
      <c r="S10" s="31"/>
      <c r="T10" s="31"/>
      <c r="U10" s="31"/>
      <c r="V10" s="31"/>
      <c r="W10" s="31"/>
      <c r="Y10" s="31"/>
      <c r="Z10" s="31"/>
    </row>
    <row r="11" spans="2:32" ht="15" customHeight="1" x14ac:dyDescent="0.25">
      <c r="B11" s="13" t="s">
        <v>10</v>
      </c>
      <c r="C11" s="1"/>
      <c r="D11" s="1"/>
      <c r="E11" s="1"/>
      <c r="F11" s="1"/>
      <c r="G11" s="1"/>
      <c r="H11" s="1"/>
      <c r="I11" s="1"/>
      <c r="Q11" s="39"/>
      <c r="R11" s="39"/>
      <c r="S11" s="39"/>
      <c r="T11" s="39"/>
      <c r="U11" s="39"/>
      <c r="V11" s="39"/>
      <c r="W11" s="39"/>
      <c r="Y11" s="39"/>
      <c r="Z11" s="39"/>
      <c r="AA11" s="1"/>
      <c r="AB11" s="1"/>
      <c r="AC11" s="1"/>
      <c r="AD11" s="1"/>
      <c r="AE11" s="1"/>
      <c r="AF11" s="1"/>
    </row>
    <row r="12" spans="2:32" x14ac:dyDescent="0.25">
      <c r="B12" s="12" t="s">
        <v>19</v>
      </c>
      <c r="C12" s="1"/>
      <c r="D12" s="1"/>
      <c r="E12" s="1"/>
      <c r="F12" s="1"/>
      <c r="G12" s="1"/>
      <c r="H12" s="1"/>
      <c r="I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x14ac:dyDescent="0.25">
      <c r="B13" s="12" t="s">
        <v>11</v>
      </c>
    </row>
    <row r="14" spans="2:32" x14ac:dyDescent="0.25">
      <c r="B14" s="12" t="s">
        <v>12</v>
      </c>
    </row>
    <row r="15" spans="2:32" x14ac:dyDescent="0.25">
      <c r="B15" s="12" t="s">
        <v>13</v>
      </c>
    </row>
    <row r="16" spans="2:32" x14ac:dyDescent="0.25">
      <c r="B16" s="12" t="s">
        <v>14</v>
      </c>
    </row>
    <row r="17" spans="2:2" x14ac:dyDescent="0.25">
      <c r="B17" s="12" t="s">
        <v>15</v>
      </c>
    </row>
    <row r="18" spans="2:2" x14ac:dyDescent="0.25">
      <c r="B18" s="12" t="s">
        <v>18</v>
      </c>
    </row>
    <row r="19" spans="2:2" x14ac:dyDescent="0.25">
      <c r="B19" s="12" t="s">
        <v>16</v>
      </c>
    </row>
    <row r="20" spans="2:2" x14ac:dyDescent="0.25">
      <c r="B20" s="12" t="s">
        <v>17</v>
      </c>
    </row>
  </sheetData>
  <mergeCells count="29">
    <mergeCell ref="B3:B5"/>
    <mergeCell ref="C3:G3"/>
    <mergeCell ref="H3:I3"/>
    <mergeCell ref="J3:Q3"/>
    <mergeCell ref="R3:Y3"/>
    <mergeCell ref="S4:S5"/>
    <mergeCell ref="T4:T5"/>
    <mergeCell ref="Y4:Y5"/>
    <mergeCell ref="K4:K5"/>
    <mergeCell ref="L4:L5"/>
    <mergeCell ref="Q4:Q5"/>
    <mergeCell ref="R4:R5"/>
    <mergeCell ref="C4:E4"/>
    <mergeCell ref="F4:G4"/>
    <mergeCell ref="H4:H5"/>
    <mergeCell ref="I4:I5"/>
    <mergeCell ref="Z3:AF3"/>
    <mergeCell ref="Z4:Z5"/>
    <mergeCell ref="AA4:AA5"/>
    <mergeCell ref="AB4:AB5"/>
    <mergeCell ref="AF4:AF5"/>
    <mergeCell ref="J4:J5"/>
    <mergeCell ref="AC4:AC5"/>
    <mergeCell ref="AD4:AD5"/>
    <mergeCell ref="AE4:AE5"/>
    <mergeCell ref="M4:M5"/>
    <mergeCell ref="P4:P5"/>
    <mergeCell ref="U4:U5"/>
    <mergeCell ref="X4:X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20"/>
  <sheetViews>
    <sheetView zoomScaleNormal="100" workbookViewId="0">
      <selection activeCell="M15" sqref="M15"/>
    </sheetView>
  </sheetViews>
  <sheetFormatPr defaultRowHeight="15" x14ac:dyDescent="0.25"/>
  <cols>
    <col min="1" max="1" width="3.140625" customWidth="1"/>
    <col min="2" max="2" width="8.5703125" customWidth="1"/>
    <col min="3" max="3" width="12" customWidth="1"/>
    <col min="4" max="4" width="13.85546875" customWidth="1"/>
    <col min="5" max="8" width="12" customWidth="1"/>
    <col min="9" max="14" width="13.28515625" customWidth="1"/>
    <col min="15" max="16" width="13.28515625" hidden="1" customWidth="1"/>
    <col min="17" max="17" width="16.42578125" customWidth="1"/>
    <col min="18" max="21" width="13.28515625" customWidth="1"/>
    <col min="22" max="22" width="17.7109375" customWidth="1"/>
    <col min="23" max="24" width="16.28515625" hidden="1" customWidth="1"/>
    <col min="25" max="25" width="17" customWidth="1"/>
    <col min="26" max="31" width="13.28515625" customWidth="1"/>
    <col min="32" max="32" width="17" customWidth="1"/>
    <col min="33" max="33" width="13.28515625" customWidth="1"/>
  </cols>
  <sheetData>
    <row r="2" spans="2:33" ht="15.75" thickBot="1" x14ac:dyDescent="0.3"/>
    <row r="3" spans="2:33" ht="36" customHeight="1" thickBot="1" x14ac:dyDescent="0.3">
      <c r="B3" s="119" t="s">
        <v>0</v>
      </c>
      <c r="C3" s="122" t="s">
        <v>3</v>
      </c>
      <c r="D3" s="123"/>
      <c r="E3" s="124"/>
      <c r="F3" s="124"/>
      <c r="G3" s="158"/>
      <c r="H3" s="125"/>
      <c r="I3" s="126" t="s">
        <v>6</v>
      </c>
      <c r="J3" s="114"/>
      <c r="K3" s="127" t="s">
        <v>22</v>
      </c>
      <c r="L3" s="128"/>
      <c r="M3" s="128"/>
      <c r="N3" s="128"/>
      <c r="O3" s="128"/>
      <c r="P3" s="128"/>
      <c r="Q3" s="128"/>
      <c r="R3" s="129"/>
      <c r="S3" s="127" t="s">
        <v>33</v>
      </c>
      <c r="T3" s="128"/>
      <c r="U3" s="128"/>
      <c r="V3" s="128"/>
      <c r="W3" s="128"/>
      <c r="X3" s="128"/>
      <c r="Y3" s="128"/>
      <c r="Z3" s="129"/>
      <c r="AA3" s="111" t="s">
        <v>9</v>
      </c>
      <c r="AB3" s="112"/>
      <c r="AC3" s="112"/>
      <c r="AD3" s="113"/>
      <c r="AE3" s="113"/>
      <c r="AF3" s="113"/>
      <c r="AG3" s="114"/>
    </row>
    <row r="4" spans="2:33" ht="36" customHeight="1" x14ac:dyDescent="0.25">
      <c r="B4" s="120"/>
      <c r="C4" s="134" t="s">
        <v>1</v>
      </c>
      <c r="D4" s="135"/>
      <c r="E4" s="136"/>
      <c r="F4" s="137" t="s">
        <v>2</v>
      </c>
      <c r="G4" s="135"/>
      <c r="H4" s="138"/>
      <c r="I4" s="115" t="s">
        <v>7</v>
      </c>
      <c r="J4" s="117" t="s">
        <v>8</v>
      </c>
      <c r="K4" s="139" t="s">
        <v>5</v>
      </c>
      <c r="L4" s="141" t="s">
        <v>4</v>
      </c>
      <c r="M4" s="141" t="s">
        <v>20</v>
      </c>
      <c r="N4" s="130" t="s">
        <v>34</v>
      </c>
      <c r="O4" s="52"/>
      <c r="P4" s="52"/>
      <c r="Q4" s="132" t="s">
        <v>36</v>
      </c>
      <c r="R4" s="143" t="s">
        <v>35</v>
      </c>
      <c r="S4" s="139" t="s">
        <v>5</v>
      </c>
      <c r="T4" s="141" t="s">
        <v>4</v>
      </c>
      <c r="U4" s="141" t="s">
        <v>20</v>
      </c>
      <c r="V4" s="130" t="s">
        <v>34</v>
      </c>
      <c r="W4" s="52"/>
      <c r="X4" s="52"/>
      <c r="Y4" s="132" t="s">
        <v>36</v>
      </c>
      <c r="Z4" s="143" t="s">
        <v>35</v>
      </c>
      <c r="AA4" s="139" t="s">
        <v>5</v>
      </c>
      <c r="AB4" s="141" t="s">
        <v>4</v>
      </c>
      <c r="AC4" s="141" t="s">
        <v>20</v>
      </c>
      <c r="AD4" s="130" t="s">
        <v>34</v>
      </c>
      <c r="AE4" s="145" t="s">
        <v>37</v>
      </c>
      <c r="AF4" s="132" t="s">
        <v>36</v>
      </c>
      <c r="AG4" s="143" t="s">
        <v>35</v>
      </c>
    </row>
    <row r="5" spans="2:33" ht="32.25" customHeight="1" thickBot="1" x14ac:dyDescent="0.3">
      <c r="B5" s="121"/>
      <c r="C5" s="62" t="s">
        <v>23</v>
      </c>
      <c r="D5" s="35" t="s">
        <v>26</v>
      </c>
      <c r="E5" s="63" t="s">
        <v>24</v>
      </c>
      <c r="F5" s="63" t="s">
        <v>25</v>
      </c>
      <c r="G5" s="61" t="s">
        <v>38</v>
      </c>
      <c r="H5" s="64" t="s">
        <v>24</v>
      </c>
      <c r="I5" s="116"/>
      <c r="J5" s="118"/>
      <c r="K5" s="140"/>
      <c r="L5" s="142"/>
      <c r="M5" s="142"/>
      <c r="N5" s="131"/>
      <c r="O5" s="65"/>
      <c r="P5" s="65"/>
      <c r="Q5" s="133"/>
      <c r="R5" s="144"/>
      <c r="S5" s="140"/>
      <c r="T5" s="142"/>
      <c r="U5" s="142"/>
      <c r="V5" s="131"/>
      <c r="W5" s="65"/>
      <c r="X5" s="65"/>
      <c r="Y5" s="133"/>
      <c r="Z5" s="144"/>
      <c r="AA5" s="140"/>
      <c r="AB5" s="142"/>
      <c r="AC5" s="142"/>
      <c r="AD5" s="131"/>
      <c r="AE5" s="146"/>
      <c r="AF5" s="133"/>
      <c r="AG5" s="144"/>
    </row>
    <row r="6" spans="2:33" x14ac:dyDescent="0.25">
      <c r="B6" s="105">
        <v>2031</v>
      </c>
      <c r="C6" s="10">
        <v>0</v>
      </c>
      <c r="D6" s="106">
        <v>0</v>
      </c>
      <c r="E6" s="11">
        <v>22</v>
      </c>
      <c r="F6" s="11">
        <v>154.4</v>
      </c>
      <c r="G6" s="97">
        <v>75</v>
      </c>
      <c r="H6" s="23">
        <v>66</v>
      </c>
      <c r="I6" s="168">
        <v>1951</v>
      </c>
      <c r="J6" s="169">
        <v>996</v>
      </c>
      <c r="K6" s="98">
        <v>1399</v>
      </c>
      <c r="L6" s="99">
        <f>215*2+203</f>
        <v>633</v>
      </c>
      <c r="M6" s="99">
        <v>707</v>
      </c>
      <c r="N6" s="49">
        <f>J6-M6</f>
        <v>289</v>
      </c>
      <c r="O6" s="49">
        <f>I6-K6-N6</f>
        <v>263</v>
      </c>
      <c r="P6" s="49">
        <f>AA6-K6</f>
        <v>387</v>
      </c>
      <c r="Q6" s="53">
        <f>M6/J6</f>
        <v>0.70983935742971882</v>
      </c>
      <c r="R6" s="53">
        <f>IF(O6&lt;P6,(K6+O6)/I6,(K6+P6)/I6)</f>
        <v>0.85187083546899023</v>
      </c>
      <c r="S6" s="98">
        <v>1652</v>
      </c>
      <c r="T6" s="109">
        <f>274*2+260</f>
        <v>808</v>
      </c>
      <c r="U6" s="99">
        <v>844</v>
      </c>
      <c r="V6" s="49">
        <f>J6-U6</f>
        <v>152</v>
      </c>
      <c r="W6" s="49">
        <f>I6-S6-V6</f>
        <v>147</v>
      </c>
      <c r="X6" s="49">
        <f>AA6-S6</f>
        <v>134</v>
      </c>
      <c r="Y6" s="53">
        <f>U6/J6</f>
        <v>0.84738955823293172</v>
      </c>
      <c r="Z6" s="50">
        <f>IF(W6&lt;X6,(S6+W6)/I6,(S6+X6)/I6)</f>
        <v>0.91542798564838546</v>
      </c>
      <c r="AA6" s="181">
        <v>1786</v>
      </c>
      <c r="AB6" s="99">
        <f>307*2+293</f>
        <v>907</v>
      </c>
      <c r="AC6" s="99">
        <v>914</v>
      </c>
      <c r="AD6" s="49">
        <f>J6-AC6</f>
        <v>82</v>
      </c>
      <c r="AE6" s="49">
        <f>I6-AA6-AD6</f>
        <v>83</v>
      </c>
      <c r="AF6" s="53">
        <f>AC6/J6</f>
        <v>0.91767068273092367</v>
      </c>
      <c r="AG6" s="50">
        <f>AA6/I6</f>
        <v>0.91542798564838546</v>
      </c>
    </row>
    <row r="7" spans="2:33" ht="15.75" thickBot="1" x14ac:dyDescent="0.3">
      <c r="B7" s="107">
        <v>2034</v>
      </c>
      <c r="C7" s="2">
        <v>0</v>
      </c>
      <c r="D7" s="170">
        <v>0</v>
      </c>
      <c r="E7" s="171">
        <v>22</v>
      </c>
      <c r="F7" s="171">
        <v>154.4</v>
      </c>
      <c r="G7" s="176">
        <v>75</v>
      </c>
      <c r="H7" s="172">
        <v>66</v>
      </c>
      <c r="I7" s="100">
        <v>2031</v>
      </c>
      <c r="J7" s="101">
        <v>1034</v>
      </c>
      <c r="K7" s="102">
        <v>1399</v>
      </c>
      <c r="L7" s="103">
        <f>L6</f>
        <v>633</v>
      </c>
      <c r="M7" s="103">
        <v>708</v>
      </c>
      <c r="N7" s="51">
        <f>J7-M7</f>
        <v>326</v>
      </c>
      <c r="O7" s="51">
        <f t="shared" ref="O7" si="0">I7-K7-N7</f>
        <v>306</v>
      </c>
      <c r="P7" s="51">
        <f t="shared" ref="P7" si="1">AA7-K7</f>
        <v>387</v>
      </c>
      <c r="Q7" s="54">
        <f t="shared" ref="Q7" si="2">M7/J7</f>
        <v>0.68471953578336553</v>
      </c>
      <c r="R7" s="54">
        <f t="shared" ref="R7" si="3">IF(O7&lt;P7,(K7+O7)/I7,(K7+P7)/I7)</f>
        <v>0.83948793697685864</v>
      </c>
      <c r="S7" s="102">
        <v>1652</v>
      </c>
      <c r="T7" s="108">
        <v>808</v>
      </c>
      <c r="U7" s="103">
        <v>844</v>
      </c>
      <c r="V7" s="51">
        <f>J7-U7</f>
        <v>190</v>
      </c>
      <c r="W7" s="51">
        <f>I7-S7-V7</f>
        <v>189</v>
      </c>
      <c r="X7" s="51">
        <f>AA7-S7</f>
        <v>134</v>
      </c>
      <c r="Y7" s="54">
        <f t="shared" ref="Y7" si="4">U7/J7</f>
        <v>0.81624758220502902</v>
      </c>
      <c r="Z7" s="173">
        <f t="shared" ref="Z7" si="5">IF(W7&lt;X7,(S7+W7)/I7,(S7+X7)/I7)</f>
        <v>0.87936976858690297</v>
      </c>
      <c r="AA7" s="110">
        <v>1786</v>
      </c>
      <c r="AB7" s="103">
        <v>907</v>
      </c>
      <c r="AC7" s="103">
        <v>914</v>
      </c>
      <c r="AD7" s="51">
        <f>J7-AC7</f>
        <v>120</v>
      </c>
      <c r="AE7" s="51">
        <f>I7-AA7-AD7</f>
        <v>125</v>
      </c>
      <c r="AF7" s="54">
        <f t="shared" ref="AF7" si="6">AC7/J7</f>
        <v>0.88394584139264987</v>
      </c>
      <c r="AG7" s="173">
        <f>AA7/I7</f>
        <v>0.87936976858690297</v>
      </c>
    </row>
    <row r="8" spans="2:33" x14ac:dyDescent="0.25">
      <c r="S8" s="179" t="s">
        <v>39</v>
      </c>
      <c r="T8" s="180"/>
      <c r="U8" s="180"/>
      <c r="V8" s="180"/>
      <c r="W8" s="180"/>
      <c r="X8" s="180"/>
      <c r="Y8" s="180"/>
      <c r="Z8" s="180"/>
    </row>
    <row r="9" spans="2:33" x14ac:dyDescent="0.25">
      <c r="B9" t="s">
        <v>21</v>
      </c>
      <c r="S9" s="166" t="s">
        <v>41</v>
      </c>
      <c r="T9" s="166"/>
      <c r="U9" s="166"/>
      <c r="V9" s="166"/>
      <c r="W9" s="166"/>
      <c r="X9" s="166"/>
      <c r="Y9" s="166"/>
      <c r="Z9" s="166"/>
    </row>
    <row r="10" spans="2:33" x14ac:dyDescent="0.25">
      <c r="I10" s="167"/>
      <c r="J10" s="167"/>
      <c r="K10" s="167"/>
      <c r="L10" s="167"/>
      <c r="M10" s="167"/>
      <c r="R10" s="31"/>
      <c r="S10" s="164" t="s">
        <v>42</v>
      </c>
      <c r="T10" s="164"/>
      <c r="U10" s="164"/>
      <c r="V10" s="164"/>
      <c r="W10" s="164"/>
      <c r="X10" s="164"/>
      <c r="Y10" s="164"/>
      <c r="Z10" s="164"/>
      <c r="AA10" s="31"/>
    </row>
    <row r="11" spans="2:33" ht="15" customHeight="1" x14ac:dyDescent="0.25">
      <c r="B11" s="13" t="s">
        <v>10</v>
      </c>
      <c r="C11" s="1"/>
      <c r="D11" s="1"/>
      <c r="E11" s="1"/>
      <c r="F11" s="1"/>
      <c r="G11" s="1"/>
      <c r="H11" s="1"/>
      <c r="I11" s="167"/>
      <c r="J11" s="167"/>
      <c r="K11" s="167"/>
      <c r="L11" s="167"/>
      <c r="M11" s="167"/>
      <c r="P11" s="58"/>
      <c r="R11" s="39"/>
      <c r="S11" s="165" t="s">
        <v>40</v>
      </c>
      <c r="T11" s="165"/>
      <c r="U11" s="165"/>
      <c r="V11" s="165"/>
      <c r="W11" s="165"/>
      <c r="X11" s="165"/>
      <c r="Y11" s="165"/>
      <c r="Z11" s="165"/>
      <c r="AA11" s="39"/>
      <c r="AB11" s="1"/>
      <c r="AC11" s="1"/>
      <c r="AD11" s="1"/>
      <c r="AE11" s="1"/>
      <c r="AF11" s="1"/>
      <c r="AG11" s="1"/>
    </row>
    <row r="12" spans="2:33" x14ac:dyDescent="0.25">
      <c r="B12" s="12" t="s">
        <v>19</v>
      </c>
      <c r="C12" s="1"/>
      <c r="D12" s="1"/>
      <c r="E12" s="1"/>
      <c r="F12" s="1"/>
      <c r="G12" s="1"/>
      <c r="H12" s="1"/>
      <c r="I12" s="1"/>
      <c r="J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2:33" x14ac:dyDescent="0.25">
      <c r="B13" s="12" t="s">
        <v>11</v>
      </c>
      <c r="H13" s="104" t="s">
        <v>44</v>
      </c>
      <c r="I13" s="104"/>
    </row>
    <row r="14" spans="2:33" x14ac:dyDescent="0.25">
      <c r="B14" s="12" t="s">
        <v>12</v>
      </c>
    </row>
    <row r="15" spans="2:33" x14ac:dyDescent="0.25">
      <c r="B15" s="12" t="s">
        <v>13</v>
      </c>
    </row>
    <row r="16" spans="2:33" x14ac:dyDescent="0.25">
      <c r="B16" s="12" t="s">
        <v>14</v>
      </c>
    </row>
    <row r="17" spans="2:2" x14ac:dyDescent="0.25">
      <c r="B17" s="12" t="s">
        <v>15</v>
      </c>
    </row>
    <row r="18" spans="2:2" x14ac:dyDescent="0.25">
      <c r="B18" s="12" t="s">
        <v>18</v>
      </c>
    </row>
    <row r="19" spans="2:2" x14ac:dyDescent="0.25">
      <c r="B19" s="12" t="s">
        <v>16</v>
      </c>
    </row>
    <row r="20" spans="2:2" x14ac:dyDescent="0.25">
      <c r="B20" s="12" t="s">
        <v>17</v>
      </c>
    </row>
  </sheetData>
  <mergeCells count="33">
    <mergeCell ref="B3:B5"/>
    <mergeCell ref="C3:H3"/>
    <mergeCell ref="I3:J3"/>
    <mergeCell ref="K3:R3"/>
    <mergeCell ref="AG4:AG5"/>
    <mergeCell ref="AE4:AE5"/>
    <mergeCell ref="AF4:AF5"/>
    <mergeCell ref="S3:Z3"/>
    <mergeCell ref="AA3:AG3"/>
    <mergeCell ref="C4:E4"/>
    <mergeCell ref="F4:H4"/>
    <mergeCell ref="I4:I5"/>
    <mergeCell ref="J4:J5"/>
    <mergeCell ref="M4:M5"/>
    <mergeCell ref="N4:N5"/>
    <mergeCell ref="Q4:Q5"/>
    <mergeCell ref="AC4:AC5"/>
    <mergeCell ref="AD4:AD5"/>
    <mergeCell ref="S4:S5"/>
    <mergeCell ref="T4:T5"/>
    <mergeCell ref="U4:U5"/>
    <mergeCell ref="V4:V5"/>
    <mergeCell ref="Y4:Y5"/>
    <mergeCell ref="Z4:Z5"/>
    <mergeCell ref="S10:Z10"/>
    <mergeCell ref="S11:Z11"/>
    <mergeCell ref="AA4:AA5"/>
    <mergeCell ref="AB4:AB5"/>
    <mergeCell ref="K4:K5"/>
    <mergeCell ref="L4:L5"/>
    <mergeCell ref="S8:Z8"/>
    <mergeCell ref="S9:Z9"/>
    <mergeCell ref="R4:R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ty xmlns="1f9ce532-7918-42c8-84e4-dbf5a7f28ee7" xsi:nil="true"/>
    <IconOverlay xmlns="http://schemas.microsoft.com/sharepoint/v4" xsi:nil="true"/>
    <Writer xmlns="1f9ce532-7918-42c8-84e4-dbf5a7f28e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C9A3497006248913DD80373D80664" ma:contentTypeVersion="12" ma:contentTypeDescription="Create a new document." ma:contentTypeScope="" ma:versionID="6daff5e6cdf104e9b83473e2ed801a84">
  <xsd:schema xmlns:xsd="http://www.w3.org/2001/XMLSchema" xmlns:xs="http://www.w3.org/2001/XMLSchema" xmlns:p="http://schemas.microsoft.com/office/2006/metadata/properties" xmlns:ns2="1f9ce532-7918-42c8-84e4-dbf5a7f28ee7" xmlns:ns3="http://schemas.microsoft.com/sharepoint/v4" targetNamespace="http://schemas.microsoft.com/office/2006/metadata/properties" ma:root="true" ma:fieldsID="4ad4118b15cc9b1140d3dc0e674c135a" ns2:_="" ns3:_="">
    <xsd:import namespace="1f9ce532-7918-42c8-84e4-dbf5a7f28ee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Writer" minOccurs="0"/>
                <xsd:element ref="ns2:Party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ce532-7918-42c8-84e4-dbf5a7f28ee7" elementFormDefault="qualified">
    <xsd:import namespace="http://schemas.microsoft.com/office/2006/documentManagement/types"/>
    <xsd:import namespace="http://schemas.microsoft.com/office/infopath/2007/PartnerControls"/>
    <xsd:element name="Writer" ma:index="8" nillable="true" ma:displayName="Writer" ma:internalName="Writer">
      <xsd:simpleType>
        <xsd:restriction base="dms:Text">
          <xsd:maxLength value="255"/>
        </xsd:restriction>
      </xsd:simpleType>
    </xsd:element>
    <xsd:element name="Party" ma:index="14" nillable="true" ma:displayName="Party" ma:internalName="Part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29228-9630-4C4C-AD40-B73251E16FA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1f9ce532-7918-42c8-84e4-dbf5a7f28ee7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B89052-F282-4596-9EAE-EF19CB27AB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83A12F-089D-4ECE-8898-20393A683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ce532-7918-42c8-84e4-dbf5a7f28ee7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Scenario 1AEF</vt:lpstr>
      <vt:lpstr>Scenario 1A</vt:lpstr>
      <vt:lpstr>Scenario 1AEI</vt:lpstr>
      <vt:lpstr>Scenario 2</vt:lpstr>
      <vt:lpstr>Scenario 2A</vt:lpstr>
      <vt:lpstr>Scenario 4AEF</vt:lpstr>
      <vt:lpstr>Scenario 4AEF(ADV)</vt:lpstr>
      <vt:lpstr>Scenario 4AEI</vt:lpstr>
    </vt:vector>
  </TitlesOfParts>
  <Company>Nalcor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Matthew Carter</dc:creator>
  <cp:lastModifiedBy>Samantha Tobin</cp:lastModifiedBy>
  <dcterms:created xsi:type="dcterms:W3CDTF">2024-01-31T00:33:23Z</dcterms:created>
  <dcterms:modified xsi:type="dcterms:W3CDTF">2024-11-27T18:07:02Z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0x0101004EEC9A3497006248913DD80373D80664</vt:lpwstr>
  </property>
</Properties>
</file>